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dayishimiye\Documents\"/>
    </mc:Choice>
  </mc:AlternateContent>
  <xr:revisionPtr revIDLastSave="0" documentId="8_{4D0A8D81-4037-459D-A95A-760714ACA44C}" xr6:coauthVersionLast="47" xr6:coauthVersionMax="47" xr10:uidLastSave="{00000000-0000-0000-0000-000000000000}"/>
  <bookViews>
    <workbookView xWindow="-98" yWindow="-98" windowWidth="20715" windowHeight="12660" tabRatio="945" xr2:uid="{00000000-000D-0000-FFFF-FFFF00000000}"/>
  </bookViews>
  <sheets>
    <sheet name="CAPE - DRAFT" sheetId="17" r:id="rId1"/>
    <sheet name="1 Revenue" sheetId="3" r:id="rId2"/>
    <sheet name="2 Salaries and benefits" sheetId="5" r:id="rId3"/>
    <sheet name="FY 2023 Positions" sheetId="33" r:id="rId4"/>
    <sheet name="3-4 Severance Pay" sheetId="7" r:id="rId5"/>
    <sheet name="5 Office_Telecom" sheetId="9" r:id="rId6"/>
    <sheet name="6 Training and Development" sheetId="11" r:id="rId7"/>
    <sheet name="7 Professional fees" sheetId="12" r:id="rId8"/>
    <sheet name="8 Office expenses" sheetId="13" r:id="rId9"/>
    <sheet name="9 Equipment " sheetId="15" r:id="rId10"/>
    <sheet name="10 Rent and operating expenses" sheetId="16" r:id="rId11"/>
    <sheet name="11 Computer expenses" sheetId="14" r:id="rId12"/>
    <sheet name="12 Travel" sheetId="18" r:id="rId13"/>
    <sheet name="13 Meetings" sheetId="19" r:id="rId14"/>
    <sheet name="14 Collective Bargaining" sheetId="21" r:id="rId15"/>
    <sheet name="15 CLC " sheetId="22" r:id="rId16"/>
    <sheet name="16 Local Rebates" sheetId="23" r:id="rId17"/>
    <sheet name="17 Donations" sheetId="24" r:id="rId18"/>
    <sheet name="18 Defense Funds" sheetId="25" state="hidden" r:id="rId19"/>
    <sheet name="19 Contingency" sheetId="26" r:id="rId20"/>
    <sheet name="CAPITAL RESERVES" sheetId="28" state="hidden" r:id="rId21"/>
    <sheet name="AMORTIZATION FY21-22" sheetId="29" state="hidden" r:id="rId22"/>
    <sheet name="AMORTIZATION FY23" sheetId="30" r:id="rId23"/>
    <sheet name="AMORTIZATION FY23-24" sheetId="35" state="hidden" r:id="rId24"/>
    <sheet name="Sheet1" sheetId="34" state="hidden" r:id="rId25"/>
  </sheets>
  <definedNames>
    <definedName name="_Hlk71638676" localSheetId="11">'11 Computer expenses'!#REF!</definedName>
    <definedName name="_xlnm.Print_Area" localSheetId="0">'CAPE - DRAFT'!$A$1:$M$115</definedName>
    <definedName name="_xlnm.Print_Titles" localSheetId="0">'CAPE - DRAFT'!$2:$8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7" l="1"/>
  <c r="L115" i="17"/>
  <c r="L14" i="17"/>
  <c r="L111" i="17"/>
  <c r="L107" i="17"/>
  <c r="L113" i="17"/>
  <c r="G86" i="17"/>
  <c r="G113" i="17"/>
  <c r="D4" i="3"/>
  <c r="F5" i="5"/>
  <c r="I6" i="33" l="1"/>
  <c r="M72" i="17"/>
  <c r="M63" i="17"/>
  <c r="M50" i="17"/>
  <c r="M42" i="17"/>
  <c r="M32" i="17"/>
  <c r="M25" i="17"/>
  <c r="F20" i="5" l="1"/>
  <c r="N13" i="30"/>
  <c r="H28" i="33"/>
  <c r="G28" i="33"/>
  <c r="F28" i="33"/>
  <c r="E28" i="33"/>
  <c r="I28" i="33" s="1"/>
  <c r="J28" i="33" l="1"/>
  <c r="O28" i="33" s="1"/>
  <c r="N28" i="33"/>
  <c r="F12" i="33"/>
  <c r="E12" i="33"/>
  <c r="F10" i="33"/>
  <c r="E10" i="33"/>
  <c r="F8" i="33"/>
  <c r="E8" i="33"/>
  <c r="F3" i="33"/>
  <c r="E3" i="33"/>
  <c r="D8" i="16"/>
  <c r="E8" i="16"/>
  <c r="G8" i="16"/>
  <c r="D9" i="16"/>
  <c r="E9" i="16"/>
  <c r="G9" i="16"/>
  <c r="E12" i="16"/>
  <c r="E13" i="16"/>
  <c r="F11" i="33"/>
  <c r="F9" i="33"/>
  <c r="F7" i="33"/>
  <c r="F6" i="33"/>
  <c r="F5" i="33"/>
  <c r="F4" i="33"/>
  <c r="E11" i="33"/>
  <c r="E9" i="33"/>
  <c r="E7" i="33"/>
  <c r="E6" i="33"/>
  <c r="E5" i="33"/>
  <c r="E4" i="33"/>
  <c r="I16" i="17" l="1"/>
  <c r="J16" i="17"/>
  <c r="K17" i="17"/>
  <c r="K18" i="17"/>
  <c r="K19" i="17"/>
  <c r="K20" i="17"/>
  <c r="K21" i="17"/>
  <c r="K22" i="17"/>
  <c r="D39" i="5"/>
  <c r="K13" i="33"/>
  <c r="L13" i="33"/>
  <c r="M13" i="33"/>
  <c r="F13" i="33"/>
  <c r="E13" i="33"/>
  <c r="N7" i="33"/>
  <c r="N8" i="33"/>
  <c r="N9" i="33"/>
  <c r="N10" i="33"/>
  <c r="N11" i="33"/>
  <c r="N12" i="33"/>
  <c r="J7" i="33"/>
  <c r="J8" i="33"/>
  <c r="J9" i="33"/>
  <c r="J10" i="33"/>
  <c r="J11" i="33"/>
  <c r="J12" i="33"/>
  <c r="G12" i="33"/>
  <c r="H12" i="33"/>
  <c r="I12" i="33"/>
  <c r="I7" i="33"/>
  <c r="I8" i="33"/>
  <c r="I9" i="33"/>
  <c r="I10" i="33"/>
  <c r="I11" i="33"/>
  <c r="H3" i="33"/>
  <c r="H4" i="33"/>
  <c r="H5" i="33"/>
  <c r="H6" i="33"/>
  <c r="H7" i="33"/>
  <c r="H8" i="33"/>
  <c r="H9" i="33"/>
  <c r="H10" i="33"/>
  <c r="H11" i="33"/>
  <c r="H2" i="33"/>
  <c r="G3" i="33"/>
  <c r="G4" i="33"/>
  <c r="G5" i="33"/>
  <c r="G6" i="33"/>
  <c r="G7" i="33"/>
  <c r="G8" i="33"/>
  <c r="G9" i="33"/>
  <c r="G10" i="33"/>
  <c r="G11" i="33"/>
  <c r="I2" i="33"/>
  <c r="G2" i="33"/>
  <c r="D6" i="11"/>
  <c r="D5" i="11"/>
  <c r="D5" i="16"/>
  <c r="D4" i="16"/>
  <c r="F22" i="33" l="1"/>
  <c r="H13" i="33"/>
  <c r="G13" i="33"/>
  <c r="O7" i="33"/>
  <c r="O11" i="33"/>
  <c r="O9" i="33"/>
  <c r="O10" i="33"/>
  <c r="F19" i="33"/>
  <c r="F22" i="5" s="1"/>
  <c r="K16" i="17"/>
  <c r="O12" i="33"/>
  <c r="O8" i="33"/>
  <c r="D11" i="5" l="1"/>
  <c r="E18" i="12" l="1"/>
  <c r="D28" i="14"/>
  <c r="F5" i="7"/>
  <c r="F4" i="7"/>
  <c r="K113" i="17" l="1"/>
  <c r="K104" i="17"/>
  <c r="K103" i="17"/>
  <c r="K101" i="17"/>
  <c r="K100" i="17"/>
  <c r="K99" i="17"/>
  <c r="K97" i="17"/>
  <c r="K96" i="17"/>
  <c r="K94" i="17"/>
  <c r="K93" i="17"/>
  <c r="K92" i="17"/>
  <c r="K91" i="17"/>
  <c r="K90" i="17"/>
  <c r="K89" i="17"/>
  <c r="K88" i="17"/>
  <c r="K87" i="17"/>
  <c r="K86" i="17"/>
  <c r="K85" i="17"/>
  <c r="K83" i="17"/>
  <c r="K82" i="17"/>
  <c r="K81" i="17"/>
  <c r="K80" i="17"/>
  <c r="K78" i="17"/>
  <c r="K77" i="17"/>
  <c r="K76" i="17"/>
  <c r="K75" i="17"/>
  <c r="K74" i="17"/>
  <c r="K73" i="17"/>
  <c r="K69" i="17"/>
  <c r="K68" i="17"/>
  <c r="K67" i="17"/>
  <c r="K65" i="17"/>
  <c r="K64" i="17"/>
  <c r="K62" i="17"/>
  <c r="K61" i="17"/>
  <c r="K59" i="17"/>
  <c r="K58" i="17"/>
  <c r="K57" i="17"/>
  <c r="K56" i="17"/>
  <c r="K55" i="17"/>
  <c r="K54" i="17"/>
  <c r="K53" i="17"/>
  <c r="K52" i="17"/>
  <c r="K51" i="17"/>
  <c r="K49" i="17"/>
  <c r="K48" i="17"/>
  <c r="K47" i="17"/>
  <c r="K46" i="17"/>
  <c r="K45" i="17"/>
  <c r="K44" i="17"/>
  <c r="K43" i="17"/>
  <c r="K40" i="17"/>
  <c r="K39" i="17"/>
  <c r="K38" i="17"/>
  <c r="K37" i="17"/>
  <c r="K36" i="17"/>
  <c r="K35" i="17"/>
  <c r="K34" i="17"/>
  <c r="K31" i="17"/>
  <c r="K30" i="17"/>
  <c r="K29" i="17"/>
  <c r="K28" i="17"/>
  <c r="K27" i="17"/>
  <c r="K26" i="17"/>
  <c r="K24" i="17"/>
  <c r="K23" i="17"/>
  <c r="K14" i="17"/>
  <c r="K13" i="17"/>
  <c r="K12" i="17"/>
  <c r="K11" i="17"/>
  <c r="E4" i="3"/>
  <c r="K10" i="17" l="1"/>
  <c r="F27" i="13"/>
  <c r="F18" i="13"/>
  <c r="F17" i="13"/>
  <c r="D7" i="11"/>
  <c r="D22" i="14"/>
  <c r="D29" i="14"/>
  <c r="D25" i="14"/>
  <c r="D20" i="14"/>
  <c r="D18" i="14"/>
  <c r="D17" i="14"/>
  <c r="D15" i="14"/>
  <c r="D26" i="14"/>
  <c r="D16" i="14"/>
  <c r="D13" i="14"/>
  <c r="D13" i="19"/>
  <c r="D12" i="19"/>
  <c r="D10" i="19"/>
  <c r="D9" i="19"/>
  <c r="D7" i="19"/>
  <c r="D6" i="19"/>
  <c r="D4" i="19"/>
  <c r="K102" i="17"/>
  <c r="K98" i="17"/>
  <c r="K95" i="17"/>
  <c r="K79" i="17"/>
  <c r="K72" i="17"/>
  <c r="K66" i="17"/>
  <c r="K63" i="17"/>
  <c r="K60" i="17"/>
  <c r="K50" i="17"/>
  <c r="K42" i="17"/>
  <c r="K32" i="17"/>
  <c r="K25" i="17"/>
  <c r="M66" i="17" l="1"/>
  <c r="M95" i="17"/>
  <c r="M10" i="17"/>
  <c r="K107" i="17"/>
  <c r="M98" i="17" l="1"/>
  <c r="M79" i="17"/>
  <c r="M60" i="17"/>
  <c r="M102" i="17"/>
  <c r="K111" i="17"/>
  <c r="G111" i="17"/>
  <c r="F111" i="17"/>
  <c r="F115" i="17" s="1"/>
  <c r="G96" i="17"/>
  <c r="M107" i="17" l="1"/>
  <c r="M111" i="17" s="1"/>
  <c r="M115" i="17" s="1"/>
  <c r="K115" i="17"/>
  <c r="N12" i="30"/>
  <c r="J72" i="17"/>
  <c r="I72" i="17"/>
  <c r="I23" i="29" l="1"/>
  <c r="I32" i="17"/>
  <c r="J25" i="17"/>
  <c r="I25" i="17"/>
  <c r="J50" i="17"/>
  <c r="I50" i="17"/>
  <c r="M13" i="35"/>
  <c r="M12" i="35"/>
  <c r="M11" i="35"/>
  <c r="H13" i="35"/>
  <c r="H12" i="35"/>
  <c r="H11" i="35"/>
  <c r="N13" i="35" l="1"/>
  <c r="L13" i="35"/>
  <c r="N12" i="35"/>
  <c r="O12" i="35" s="1"/>
  <c r="L12" i="35"/>
  <c r="N11" i="35"/>
  <c r="O11" i="35" s="1"/>
  <c r="L11" i="35"/>
  <c r="J14" i="30"/>
  <c r="L10" i="30"/>
  <c r="H10" i="35" s="1"/>
  <c r="N10" i="35" s="1"/>
  <c r="J13" i="30"/>
  <c r="L13" i="30" s="1"/>
  <c r="H19" i="29"/>
  <c r="F5" i="34"/>
  <c r="G3" i="34"/>
  <c r="G2" i="34"/>
  <c r="J79" i="17"/>
  <c r="I79" i="17"/>
  <c r="F4" i="16"/>
  <c r="L10" i="35" l="1"/>
  <c r="Q11" i="35"/>
  <c r="Q12" i="35"/>
  <c r="O13" i="35"/>
  <c r="Q13" i="35" s="1"/>
  <c r="O13" i="30"/>
  <c r="Q13" i="30" s="1"/>
  <c r="J102" i="17" l="1"/>
  <c r="J98" i="17"/>
  <c r="J95" i="17"/>
  <c r="J66" i="17"/>
  <c r="J63" i="17"/>
  <c r="J60" i="17"/>
  <c r="J42" i="17"/>
  <c r="J32" i="17"/>
  <c r="J10" i="17"/>
  <c r="D45" i="5"/>
  <c r="D40" i="5"/>
  <c r="F8" i="19"/>
  <c r="E8" i="19"/>
  <c r="D8" i="19" s="1"/>
  <c r="E5" i="7"/>
  <c r="E4" i="7"/>
  <c r="J107" i="17" l="1"/>
  <c r="J111" i="17" s="1"/>
  <c r="J115" i="17" s="1"/>
  <c r="N6" i="33"/>
  <c r="J5" i="33"/>
  <c r="I4" i="33"/>
  <c r="I3" i="33"/>
  <c r="I5" i="33" l="1"/>
  <c r="N5" i="33"/>
  <c r="O5" i="33" s="1"/>
  <c r="J3" i="33"/>
  <c r="J2" i="33"/>
  <c r="N3" i="33"/>
  <c r="J4" i="33"/>
  <c r="N2" i="33"/>
  <c r="N4" i="33"/>
  <c r="J6" i="33"/>
  <c r="O6" i="33" s="1"/>
  <c r="I13" i="33" l="1"/>
  <c r="N13" i="33"/>
  <c r="F21" i="33" s="1"/>
  <c r="J13" i="33"/>
  <c r="F20" i="33" s="1"/>
  <c r="O4" i="33"/>
  <c r="O3" i="33"/>
  <c r="O2" i="33"/>
  <c r="G22" i="5" l="1"/>
  <c r="F24" i="33"/>
  <c r="G20" i="5"/>
  <c r="D66" i="14"/>
  <c r="F25" i="5" l="1"/>
  <c r="G25" i="5"/>
  <c r="F4" i="5" l="1"/>
  <c r="F5" i="16"/>
  <c r="E5" i="16"/>
  <c r="E4" i="16"/>
  <c r="H17" i="13"/>
  <c r="F6" i="5" l="1"/>
  <c r="F8" i="5"/>
  <c r="D32" i="14"/>
  <c r="D5" i="14" s="1"/>
  <c r="I102" i="17" l="1"/>
  <c r="I98" i="17"/>
  <c r="I95" i="17"/>
  <c r="I66" i="17"/>
  <c r="I63" i="17"/>
  <c r="I60" i="17"/>
  <c r="I42" i="17"/>
  <c r="I10" i="17"/>
  <c r="I107" i="17" l="1"/>
  <c r="I111" i="17" s="1"/>
  <c r="I115" i="17" s="1"/>
  <c r="I21" i="29" l="1"/>
  <c r="I19" i="29"/>
  <c r="M23" i="29"/>
  <c r="N23" i="29" s="1"/>
  <c r="K23" i="29"/>
  <c r="K22" i="29"/>
  <c r="O22" i="29" s="1"/>
  <c r="M21" i="29"/>
  <c r="N21" i="29" s="1"/>
  <c r="K21" i="29"/>
  <c r="H20" i="29"/>
  <c r="M20" i="29" s="1"/>
  <c r="N20" i="29" s="1"/>
  <c r="M19" i="29"/>
  <c r="N19" i="29" s="1"/>
  <c r="K19" i="29" l="1"/>
  <c r="O21" i="29"/>
  <c r="O23" i="29"/>
  <c r="M25" i="29"/>
  <c r="E4" i="29" s="1"/>
  <c r="K20" i="29"/>
  <c r="O20" i="29" l="1"/>
  <c r="O19" i="29"/>
  <c r="M14" i="29" l="1"/>
  <c r="N14" i="29" s="1"/>
  <c r="M14" i="30" s="1"/>
  <c r="K13" i="29"/>
  <c r="O13" i="29" s="1"/>
  <c r="K14" i="29"/>
  <c r="F9" i="12"/>
  <c r="N14" i="30" l="1"/>
  <c r="O14" i="30" s="1"/>
  <c r="M14" i="35" s="1"/>
  <c r="L14" i="30"/>
  <c r="H14" i="35" s="1"/>
  <c r="O14" i="29"/>
  <c r="G62" i="5"/>
  <c r="N14" i="35" l="1"/>
  <c r="L14" i="35"/>
  <c r="Q14" i="30"/>
  <c r="M12" i="29"/>
  <c r="N12" i="29" s="1"/>
  <c r="M12" i="30" s="1"/>
  <c r="K12" i="29"/>
  <c r="L12" i="30" s="1"/>
  <c r="H11" i="29"/>
  <c r="H10" i="29"/>
  <c r="M10" i="29" s="1"/>
  <c r="N10" i="29" s="1"/>
  <c r="Q14" i="35" l="1"/>
  <c r="O14" i="35"/>
  <c r="N15" i="35"/>
  <c r="D4" i="35" s="1"/>
  <c r="M10" i="30"/>
  <c r="O12" i="29"/>
  <c r="O12" i="30"/>
  <c r="Q12" i="30" s="1"/>
  <c r="M11" i="29" l="1"/>
  <c r="K10" i="29"/>
  <c r="O10" i="29" s="1"/>
  <c r="N11" i="29" l="1"/>
  <c r="M11" i="30" s="1"/>
  <c r="M16" i="29"/>
  <c r="D4" i="29" s="1"/>
  <c r="N10" i="30"/>
  <c r="K11" i="29"/>
  <c r="O11" i="29" l="1"/>
  <c r="O10" i="30" l="1"/>
  <c r="N11" i="30"/>
  <c r="N15" i="30" s="1"/>
  <c r="L11" i="30"/>
  <c r="Q10" i="30" l="1"/>
  <c r="M10" i="35"/>
  <c r="O10" i="35" s="1"/>
  <c r="Q10" i="35" s="1"/>
  <c r="O11" i="30"/>
  <c r="Q11" i="30" s="1"/>
  <c r="D4" i="30"/>
  <c r="D49" i="5"/>
  <c r="D32" i="5"/>
  <c r="D35" i="5" s="1"/>
  <c r="D46" i="5" l="1"/>
  <c r="D47" i="5" s="1"/>
  <c r="D42" i="5"/>
  <c r="G7" i="5" l="1"/>
  <c r="F7" i="5"/>
  <c r="D51" i="5"/>
  <c r="H7" i="5" l="1"/>
  <c r="G61" i="5"/>
  <c r="G60" i="5"/>
  <c r="G64" i="5" l="1"/>
  <c r="F23" i="13"/>
  <c r="E7" i="13" s="1"/>
  <c r="F7" i="13" s="1"/>
  <c r="E19" i="12" l="1"/>
  <c r="F8" i="9" l="1"/>
  <c r="H6" i="5" l="1"/>
  <c r="G8" i="5"/>
  <c r="G6" i="5"/>
  <c r="F4" i="12"/>
  <c r="H8" i="5" l="1"/>
</calcChain>
</file>

<file path=xl/sharedStrings.xml><?xml version="1.0" encoding="utf-8"?>
<sst xmlns="http://schemas.openxmlformats.org/spreadsheetml/2006/main" count="895" uniqueCount="627">
  <si>
    <t xml:space="preserve">Approved by NEC / Approuvé par le CEN
</t>
  </si>
  <si>
    <t>CAPE Budget FY 2023</t>
  </si>
  <si>
    <t>Budget/</t>
  </si>
  <si>
    <t>Actuals/</t>
  </si>
  <si>
    <t>Budget de l'ACEP AF 2023</t>
  </si>
  <si>
    <t>Réels</t>
  </si>
  <si>
    <t>Budget</t>
  </si>
  <si>
    <t>2021-2022</t>
  </si>
  <si>
    <t>2022-2023</t>
  </si>
  <si>
    <t>2023-2024</t>
  </si>
  <si>
    <t>2023 (Calendar year / année civile)</t>
  </si>
  <si>
    <t>Prorated / Au prorata</t>
  </si>
  <si>
    <t>Line / Ligne #</t>
  </si>
  <si>
    <t>Revenue</t>
  </si>
  <si>
    <t>Recettes</t>
  </si>
  <si>
    <t>Dues</t>
  </si>
  <si>
    <t xml:space="preserve"> Cotisations</t>
  </si>
  <si>
    <t>Retroactive Dues - Phoenix</t>
  </si>
  <si>
    <t>Cotisations rétroactives - Phoenix</t>
  </si>
  <si>
    <t>Interest (Investments)</t>
  </si>
  <si>
    <t xml:space="preserve"> Intérêts (investissements)</t>
  </si>
  <si>
    <t xml:space="preserve">Recovery of unsupported expenses </t>
  </si>
  <si>
    <t xml:space="preserve">Récupération des dépenses non supportées </t>
  </si>
  <si>
    <t>Special Levy</t>
  </si>
  <si>
    <t>Salaries &amp; Benefits</t>
  </si>
  <si>
    <t>Salaires et avantages sociaux</t>
  </si>
  <si>
    <t>Management Salaries</t>
  </si>
  <si>
    <t xml:space="preserve"> Salaires de la direction</t>
  </si>
  <si>
    <t>Staff Salaries</t>
  </si>
  <si>
    <t xml:space="preserve"> Salaires du personnel</t>
  </si>
  <si>
    <t>Pension</t>
  </si>
  <si>
    <t xml:space="preserve"> Pensions</t>
  </si>
  <si>
    <t>Benefits</t>
  </si>
  <si>
    <t xml:space="preserve"> Avantages sociaux</t>
  </si>
  <si>
    <t>Comp/Vacation</t>
  </si>
  <si>
    <t xml:space="preserve"> Congés comp./Congés annuels</t>
  </si>
  <si>
    <t>Temporary Staff</t>
  </si>
  <si>
    <t>Personnel temporaire</t>
  </si>
  <si>
    <t>Staff Severance Pay</t>
  </si>
  <si>
    <t>Indemnité de départ du personnel</t>
  </si>
  <si>
    <t>Management Severance Pay</t>
  </si>
  <si>
    <t>Indemnité de départ de la direction</t>
  </si>
  <si>
    <t>Office &amp; Telecommunication</t>
  </si>
  <si>
    <t>Bureau et Télécommunication</t>
  </si>
  <si>
    <t>External Printing</t>
  </si>
  <si>
    <t xml:space="preserve"> Impression</t>
  </si>
  <si>
    <t>Postage</t>
  </si>
  <si>
    <t xml:space="preserve"> Affranchissement</t>
  </si>
  <si>
    <t>Translation</t>
  </si>
  <si>
    <t xml:space="preserve"> Traduction</t>
  </si>
  <si>
    <t>Telephone</t>
  </si>
  <si>
    <t xml:space="preserve"> Téléphone</t>
  </si>
  <si>
    <t>Internet</t>
  </si>
  <si>
    <t xml:space="preserve"> Internet</t>
  </si>
  <si>
    <t xml:space="preserve">Promotional Material </t>
  </si>
  <si>
    <t xml:space="preserve"> Matériel promotionnel</t>
  </si>
  <si>
    <t>Training and Development</t>
  </si>
  <si>
    <t>Formation et perfectionnement</t>
  </si>
  <si>
    <t>Members' and Stewards' Training</t>
  </si>
  <si>
    <t>Formation des membres et délégués syndicaux</t>
  </si>
  <si>
    <t>Accommodations&amp;Food</t>
  </si>
  <si>
    <t>Hébergement et nourriture</t>
  </si>
  <si>
    <t>Travel</t>
  </si>
  <si>
    <t>Déplacements</t>
  </si>
  <si>
    <t>Salary reimbursement</t>
  </si>
  <si>
    <t>Remboursements de salaires</t>
  </si>
  <si>
    <t>Staff Training &amp; Development</t>
  </si>
  <si>
    <t>Formation et perfectionnement du personnel</t>
  </si>
  <si>
    <t>Mgt. Training &amp; Development</t>
  </si>
  <si>
    <t>Formation et perfectionnement: direction</t>
  </si>
  <si>
    <t>President Training &amp; Development</t>
  </si>
  <si>
    <t xml:space="preserve">Formation et perfectionnement: Président </t>
  </si>
  <si>
    <t>Language training</t>
  </si>
  <si>
    <t>Cours de langue</t>
  </si>
  <si>
    <t>Labour Relations Training</t>
  </si>
  <si>
    <t>Formation des relations de travail</t>
  </si>
  <si>
    <t>Professional Fees</t>
  </si>
  <si>
    <t>Honoraires professionnels</t>
  </si>
  <si>
    <t>Legal - Membership Representation</t>
  </si>
  <si>
    <t xml:space="preserve"> Juridique/Arbitrage (Serv. prof.)</t>
  </si>
  <si>
    <t>Legal -Bylaw 5, Constitution</t>
  </si>
  <si>
    <t xml:space="preserve"> Juridique/Arbitrage (Pétition)</t>
  </si>
  <si>
    <t xml:space="preserve">Legal - Internal </t>
  </si>
  <si>
    <t xml:space="preserve"> Juridique/Arbitrage (Interne)</t>
  </si>
  <si>
    <t>Legal - Contingency Fund</t>
  </si>
  <si>
    <t>Juridique/ Frais imprévus</t>
  </si>
  <si>
    <t>Mgmt fees - Cash and Pension Investments</t>
  </si>
  <si>
    <t xml:space="preserve"> Frais de gestion - Placements en espèces et en régimes de retraite</t>
  </si>
  <si>
    <t>Consultants fees</t>
  </si>
  <si>
    <t xml:space="preserve"> Honoraires de consultants</t>
  </si>
  <si>
    <t>Audit</t>
  </si>
  <si>
    <t xml:space="preserve"> Vérification</t>
  </si>
  <si>
    <t>Office Expense</t>
  </si>
  <si>
    <t>Dépenses de bureau</t>
  </si>
  <si>
    <t xml:space="preserve">  Supplies</t>
  </si>
  <si>
    <t xml:space="preserve"> Matériel de bureau</t>
  </si>
  <si>
    <t xml:space="preserve">  Rental of equipment</t>
  </si>
  <si>
    <t xml:space="preserve"> Location de matériel</t>
  </si>
  <si>
    <t xml:space="preserve">  Reference material</t>
  </si>
  <si>
    <t xml:space="preserve"> Matériel de référence</t>
  </si>
  <si>
    <t xml:space="preserve">  Repairs and maintenance</t>
  </si>
  <si>
    <t xml:space="preserve"> Réparations et entretien</t>
  </si>
  <si>
    <t xml:space="preserve">  Delivery</t>
  </si>
  <si>
    <t xml:space="preserve"> Messagerie</t>
  </si>
  <si>
    <t xml:space="preserve">  Insurance</t>
  </si>
  <si>
    <t xml:space="preserve"> Assurances</t>
  </si>
  <si>
    <t xml:space="preserve">  Bank charges</t>
  </si>
  <si>
    <t xml:space="preserve"> Frais bancaires</t>
  </si>
  <si>
    <t xml:space="preserve">  Miscellaneous</t>
  </si>
  <si>
    <t xml:space="preserve"> Divers</t>
  </si>
  <si>
    <t xml:space="preserve">  Relocation Expenses</t>
  </si>
  <si>
    <t xml:space="preserve"> Frais de déménagement</t>
  </si>
  <si>
    <t xml:space="preserve">Equipment </t>
  </si>
  <si>
    <t>Équipements</t>
  </si>
  <si>
    <t>9.1</t>
  </si>
  <si>
    <t>Business Equipment</t>
  </si>
  <si>
    <t>Équipement d'affaires</t>
  </si>
  <si>
    <t>9.2</t>
  </si>
  <si>
    <t>Office Furniture</t>
  </si>
  <si>
    <t>Équipement de bureau</t>
  </si>
  <si>
    <t>Rent and Operating Expenses</t>
  </si>
  <si>
    <t>Dépenses de location et d'exploitation</t>
  </si>
  <si>
    <t xml:space="preserve">  Rent </t>
  </si>
  <si>
    <t xml:space="preserve">  Loyer</t>
  </si>
  <si>
    <t xml:space="preserve">  Operating</t>
  </si>
  <si>
    <t xml:space="preserve">  Dépenses d'exploitation</t>
  </si>
  <si>
    <t>Information Technology Expense</t>
  </si>
  <si>
    <t>Dépenses informatiques</t>
  </si>
  <si>
    <t xml:space="preserve">  Web site/DLT</t>
  </si>
  <si>
    <t xml:space="preserve">  Site Web/DLT</t>
  </si>
  <si>
    <t xml:space="preserve">  Maintenance</t>
  </si>
  <si>
    <t xml:space="preserve">  Entretien </t>
  </si>
  <si>
    <t xml:space="preserve">  Minor capital Purchases (&lt;$1,000)</t>
  </si>
  <si>
    <t xml:space="preserve">  Achats d&lt; $1,000</t>
  </si>
  <si>
    <t xml:space="preserve">  Software</t>
  </si>
  <si>
    <t xml:space="preserve">  Logiciels</t>
  </si>
  <si>
    <t>-</t>
  </si>
  <si>
    <t xml:space="preserve">  Programming </t>
  </si>
  <si>
    <t xml:space="preserve">  Programmation</t>
  </si>
  <si>
    <t>LRO representational services</t>
  </si>
  <si>
    <t>LRO service de représentation</t>
  </si>
  <si>
    <t>Conferences</t>
  </si>
  <si>
    <t>Conférences</t>
  </si>
  <si>
    <t>President travel</t>
  </si>
  <si>
    <t>Frais de voyage du président</t>
  </si>
  <si>
    <t xml:space="preserve">President Regional Council Travel </t>
  </si>
  <si>
    <t>Voyage du présent : conseil régional</t>
  </si>
  <si>
    <t xml:space="preserve">Travel to locals : President </t>
  </si>
  <si>
    <t>Voyage aux locales : Président</t>
  </si>
  <si>
    <t>Travel to locals: Staff &amp; NEC</t>
  </si>
  <si>
    <t>Voyage aux locales: Personnel et CEN</t>
  </si>
  <si>
    <t>Meetings</t>
  </si>
  <si>
    <t>Dépenses de réunions</t>
  </si>
  <si>
    <t xml:space="preserve"> AGM/MBM</t>
  </si>
  <si>
    <t>AGA/AGB</t>
  </si>
  <si>
    <t xml:space="preserve"> National Executive</t>
  </si>
  <si>
    <t>Comité exécutif national</t>
  </si>
  <si>
    <t xml:space="preserve"> Committees</t>
  </si>
  <si>
    <t>Comités</t>
  </si>
  <si>
    <t xml:space="preserve"> LLC / Presidents Council</t>
  </si>
  <si>
    <t>Dirigeants locaux</t>
  </si>
  <si>
    <t xml:space="preserve"> Salary reimbursement</t>
  </si>
  <si>
    <t xml:space="preserve"> Business Luncheons</t>
  </si>
  <si>
    <t>Déjeuners d'affaires</t>
  </si>
  <si>
    <t xml:space="preserve"> Mobilization, Engagement, Educ.</t>
  </si>
  <si>
    <t>Mobilisation</t>
  </si>
  <si>
    <t>13.10</t>
  </si>
  <si>
    <t xml:space="preserve"> Candidate's Forum</t>
  </si>
  <si>
    <t>Forum des candidats</t>
  </si>
  <si>
    <t xml:space="preserve"> Regional councils</t>
  </si>
  <si>
    <t>Conseils régionaux</t>
  </si>
  <si>
    <t xml:space="preserve"> NEC Special Meetings</t>
  </si>
  <si>
    <t>CEN rencontres spéciales</t>
  </si>
  <si>
    <t xml:space="preserve"> NEC Workshop</t>
  </si>
  <si>
    <t>Atelier - CEN</t>
  </si>
  <si>
    <t xml:space="preserve"> Staff Workshop</t>
  </si>
  <si>
    <t>Atelier - personnel</t>
  </si>
  <si>
    <t>Collective Bargaining</t>
  </si>
  <si>
    <t>Négociation collective</t>
  </si>
  <si>
    <t>CLC</t>
  </si>
  <si>
    <t>Frais d'affiliation</t>
  </si>
  <si>
    <t>CLC per capita taxes</t>
  </si>
  <si>
    <t>Taxes CTC par capita</t>
  </si>
  <si>
    <t>CLC Convention</t>
  </si>
  <si>
    <t>CTC convention</t>
  </si>
  <si>
    <t>Local Rebates</t>
  </si>
  <si>
    <t>Remises aux sections locales</t>
  </si>
  <si>
    <t xml:space="preserve">  Local Rebates</t>
  </si>
  <si>
    <t xml:space="preserve">  Remises aux sections locales</t>
  </si>
  <si>
    <t xml:space="preserve">  Nationally Managed Local Exp.</t>
  </si>
  <si>
    <t xml:space="preserve">  Dépenses gérées au palier national</t>
  </si>
  <si>
    <t>Donations</t>
  </si>
  <si>
    <t>Contributions</t>
  </si>
  <si>
    <t>Contingency</t>
  </si>
  <si>
    <t xml:space="preserve">Frais imprévus </t>
  </si>
  <si>
    <t>Executive</t>
  </si>
  <si>
    <t>Executif</t>
  </si>
  <si>
    <t>Administrative</t>
  </si>
  <si>
    <t>Administratif</t>
  </si>
  <si>
    <t>Leasehold improvements</t>
  </si>
  <si>
    <t>Améliorations locatives</t>
  </si>
  <si>
    <t>Total expenses</t>
  </si>
  <si>
    <t>Total des dépenses</t>
  </si>
  <si>
    <t>Members Resolutions</t>
  </si>
  <si>
    <t>Résolutions des membres</t>
  </si>
  <si>
    <t>Surplus (deficit) opérationnel</t>
  </si>
  <si>
    <t>AMORTIZATION</t>
  </si>
  <si>
    <t>AMORTISSEMENT</t>
  </si>
  <si>
    <t>Surplus (deficit) end of period</t>
  </si>
  <si>
    <t>Excédent (déficit) en fin d'exercice</t>
  </si>
  <si>
    <t>REVENUE / RECETTES</t>
  </si>
  <si>
    <t>Line # / Ligne #</t>
  </si>
  <si>
    <t>Budget Line name /
Nom de la ligne budgétaire</t>
  </si>
  <si>
    <t>Explanation / Assumptions</t>
  </si>
  <si>
    <t>Explications / Hypothèses</t>
  </si>
  <si>
    <t>Dues / Cotisations</t>
  </si>
  <si>
    <t>Interest (investment)  / Intérêts (Investissements</t>
  </si>
  <si>
    <t>No longer budgeting for this as it not best practice</t>
  </si>
  <si>
    <t>Ne plus budgétiser pour cela car ce n'est pas la meilleure pratique</t>
  </si>
  <si>
    <t xml:space="preserve">Recovery of unsupported expenses  / Récupération des dépenses non supportées </t>
  </si>
  <si>
    <t>SALARIES AND BENEFITS / SALAIRES ET AVANTAGES SOCIAUX</t>
  </si>
  <si>
    <t xml:space="preserve">2022-2023 </t>
  </si>
  <si>
    <t>Management / Direction</t>
  </si>
  <si>
    <t>Staff / employé</t>
  </si>
  <si>
    <t>Pension / Régime de retraite</t>
  </si>
  <si>
    <r>
      <rPr>
        <b/>
        <sz val="11"/>
        <color theme="1"/>
        <rFont val="Calibri"/>
        <family val="2"/>
      </rPr>
      <t xml:space="preserve">14.5% of 2.1 and 2.2 </t>
    </r>
    <r>
      <rPr>
        <sz val="11"/>
        <color theme="1"/>
        <rFont val="Calibri"/>
        <family val="2"/>
        <scheme val="minor"/>
      </rPr>
      <t xml:space="preserve">plus </t>
    </r>
    <r>
      <rPr>
        <b/>
        <sz val="11"/>
        <color theme="1"/>
        <rFont val="Calibri"/>
        <family val="2"/>
        <scheme val="minor"/>
      </rPr>
      <t>$100K of buffer</t>
    </r>
    <r>
      <rPr>
        <sz val="11"/>
        <color theme="1"/>
        <rFont val="Calibri"/>
        <family val="2"/>
        <scheme val="minor"/>
      </rPr>
      <t xml:space="preserve"> for additional fees/costs (MS, payments out, etc.). This line item calculation is directly related to line item 2.1 and 2.2. 
</t>
    </r>
  </si>
  <si>
    <r>
      <rPr>
        <b/>
        <sz val="9"/>
        <color theme="1"/>
        <rFont val="Verdana"/>
        <family val="2"/>
      </rPr>
      <t>14,5 % des postes 2.1 et 2.2</t>
    </r>
    <r>
      <rPr>
        <sz val="11"/>
        <color theme="1"/>
        <rFont val="Calibri"/>
        <family val="2"/>
        <scheme val="minor"/>
      </rPr>
      <t xml:space="preserve"> plus </t>
    </r>
    <r>
      <rPr>
        <b/>
        <sz val="9"/>
        <color theme="1"/>
        <rFont val="Verdana"/>
        <family val="2"/>
      </rPr>
      <t xml:space="preserve">un coussin de 100 000 $  </t>
    </r>
    <r>
      <rPr>
        <sz val="11"/>
        <color theme="1"/>
        <rFont val="Calibri"/>
        <family val="2"/>
        <scheme val="minor"/>
      </rPr>
      <t xml:space="preserve">pour les honoraires et les coûts additionnels (MS, paiements en souffrance, etc.). Ce calcul du poste est directement lié aux postes 2.1 et 2.2. </t>
    </r>
  </si>
  <si>
    <t>Benefits / avantages sociaux</t>
  </si>
  <si>
    <t>Comp/Vacation  / Vacances et congés compensatoires</t>
  </si>
  <si>
    <r>
      <rPr>
        <b/>
        <sz val="11"/>
        <color theme="1"/>
        <rFont val="Calibri"/>
        <family val="2"/>
      </rPr>
      <t>8% should be used</t>
    </r>
    <r>
      <rPr>
        <sz val="11"/>
        <color theme="1"/>
        <rFont val="Calibri"/>
        <family val="2"/>
        <scheme val="minor"/>
      </rPr>
      <t xml:space="preserve"> based on previous year %. See estimations below. 
</t>
    </r>
  </si>
  <si>
    <r>
      <rPr>
        <b/>
        <sz val="9"/>
        <color theme="1"/>
        <rFont val="Verdana"/>
        <family val="2"/>
      </rPr>
      <t xml:space="preserve">Il faudrait utiliser un pourcentage de 8 % </t>
    </r>
    <r>
      <rPr>
        <sz val="11"/>
        <color theme="1"/>
        <rFont val="Calibri"/>
        <family val="2"/>
        <scheme val="minor"/>
      </rPr>
      <t xml:space="preserve">en fonction du pourcentage des exercices précédents. Voir les estimations ci-dessous. 
</t>
    </r>
  </si>
  <si>
    <t>Temporary Staff / Personnel temporaire</t>
  </si>
  <si>
    <t>New GL added for 2022-2023</t>
  </si>
  <si>
    <t>Nouveau compte pour 2022-2023</t>
  </si>
  <si>
    <t>Line 2,1 and 2,2 calculation / Calcul de la ligne 2,1 et 2,2</t>
  </si>
  <si>
    <t>Calculation 2023 / Calcul 2023</t>
  </si>
  <si>
    <t>2022 Management salaries  / 2022 salaire de la direction</t>
  </si>
  <si>
    <t>2022 Staff Salaries / 2022 Salaires des employés</t>
  </si>
  <si>
    <t>2022 Salaries</t>
  </si>
  <si>
    <t>Remaining Salaries to be paid in FY 21/22</t>
  </si>
  <si>
    <t>Dernière période de paie entre le 25 avril 2021 - 8 mai 2021 (5 jours de salaires à payer)</t>
  </si>
  <si>
    <t>ESU increase rate (1st of may 2022) - move down / Taux d'augmentation ESU ( au 1er mai 2022) - mouvement vers le bas</t>
  </si>
  <si>
    <t xml:space="preserve">* l'augmentation s'applique à tous les employés et aux membres de la direction suivants: Directeur des com. , directeur des finances, conseiller senior du président, assistant exécutif du président, secrétaire du CEN. Les autres membres de l'exécutif pourraient avoir une augmentation de 2% à venir. </t>
  </si>
  <si>
    <t>Anniversary Increase (ESU) - move accross / Augmentation à l'anniversaire (ESU) - mouvement latéral</t>
  </si>
  <si>
    <t>Total salaries with increase / Total des salaires avec augmentation</t>
  </si>
  <si>
    <t>Departure / départ</t>
  </si>
  <si>
    <t>New positions / Nouveaux postes</t>
  </si>
  <si>
    <t>2 director positions, change in level comms &amp; research</t>
  </si>
  <si>
    <t>Voir le tableau ci-dessous procuré par l'ACEP.</t>
  </si>
  <si>
    <t>TOTAL SALARIES 2023 / TOTAL DES SALAIRES 2023</t>
  </si>
  <si>
    <t>Line 2,4 calculation / Calcul de la ligne 2,4</t>
  </si>
  <si>
    <t>Based on premium statement of November 30th, 2022 : / Basé sur le relevé des primes aux 30 novembre 2022</t>
  </si>
  <si>
    <t>Actual Number of employees / Nombre actuel d'employé</t>
  </si>
  <si>
    <t>Actual Average per employee per month / Moyenne actuelle par employé par mois</t>
  </si>
  <si>
    <t>New staff eligible to insurance (prorated) / Nouveaux employés éligibles aux assurances (proraté)</t>
  </si>
  <si>
    <t>Total for insurance cost  / Total pour le coût des assurances</t>
  </si>
  <si>
    <t>Health solution Plus account / Compte de solution santé plus</t>
  </si>
  <si>
    <t>per employees per calendar year / Par employé par année civile</t>
  </si>
  <si>
    <t>New staff eligible to insurance (prorated) / Nouveaux employés eligibles aux assurances (proraté)</t>
  </si>
  <si>
    <t>Total for Health account / Total compte de dépense</t>
  </si>
  <si>
    <t>Total benefits FY22-23 / Total des avantages sociaux AF22-23</t>
  </si>
  <si>
    <t>Number of employees for FY22-23 / Nombre d'employés pour AF22-23</t>
  </si>
  <si>
    <t>Total insurance cost / Coût total des assurances</t>
  </si>
  <si>
    <t>Increase of 2% of premium (estimation)  / Augmentation de 2% de la prime (estimation)</t>
  </si>
  <si>
    <t>Total health account / Total compte de santé</t>
  </si>
  <si>
    <t>Total benefits FY22-23 / Total avantages sociaux AF22-23</t>
  </si>
  <si>
    <t>Line 2,5 calculation / Calcul de la ligne 2,5</t>
  </si>
  <si>
    <t xml:space="preserve">Salaries (GL 2010 and 2020) / Salaires </t>
  </si>
  <si>
    <t>Vacation and OT payout (GL 2050) / Vacances et temps supplémentaires</t>
  </si>
  <si>
    <t>%</t>
  </si>
  <si>
    <t>FY22 / AF22</t>
  </si>
  <si>
    <t>FY21 / AF21</t>
  </si>
  <si>
    <t>unaudited numbers / chiffres non audités</t>
  </si>
  <si>
    <t>FY20 /AF20</t>
  </si>
  <si>
    <t>audited number / chiffres audités</t>
  </si>
  <si>
    <t>FY19 /AF19</t>
  </si>
  <si>
    <t xml:space="preserve">Accruals have a non significant impact on FY21 vacation/OT. </t>
  </si>
  <si>
    <t>AVERAGE / MOYENNE</t>
  </si>
  <si>
    <t xml:space="preserve">Les charges à payer n'ont pas un impact significatif sur les vacances et le temps supplémentaires de l'AF21 </t>
  </si>
  <si>
    <t>Start Date</t>
  </si>
  <si>
    <t>Position Title</t>
  </si>
  <si>
    <t>Details</t>
  </si>
  <si>
    <t>Levels</t>
  </si>
  <si>
    <t>Annual Salary (Mid-Range)</t>
  </si>
  <si>
    <t>Annual Benefits (Canada Life - Family Coverage)</t>
  </si>
  <si>
    <t xml:space="preserve">Employer CPP </t>
  </si>
  <si>
    <t>Employer EI</t>
  </si>
  <si>
    <t>Employer Health Tax</t>
  </si>
  <si>
    <t>WSIB</t>
  </si>
  <si>
    <t>Transportation Allowance</t>
  </si>
  <si>
    <t>Wellness Allowance</t>
  </si>
  <si>
    <t>OHIP</t>
  </si>
  <si>
    <t>Employer Pension Contributions (14.5%)</t>
  </si>
  <si>
    <t>Totals</t>
  </si>
  <si>
    <t xml:space="preserve">Translator </t>
  </si>
  <si>
    <t>Indeterminate Position</t>
  </si>
  <si>
    <t>level 4</t>
  </si>
  <si>
    <t>HR Officer</t>
  </si>
  <si>
    <t>level 5</t>
  </si>
  <si>
    <t>Pay Equity Officer</t>
  </si>
  <si>
    <t>Indeterminate Position (replacing level 4)</t>
  </si>
  <si>
    <t>Sr. Communication Advisor</t>
  </si>
  <si>
    <t>Jr. Communication Advisor</t>
  </si>
  <si>
    <t>Indeterminate Position (replacing level 3)</t>
  </si>
  <si>
    <t>Senior Advisor to President</t>
  </si>
  <si>
    <t>level 6</t>
  </si>
  <si>
    <t>Director of Negotiations &amp; Research</t>
  </si>
  <si>
    <t>level 8</t>
  </si>
  <si>
    <t>LRO Admin Assistant</t>
  </si>
  <si>
    <t>level 2</t>
  </si>
  <si>
    <t>Director of Representation Services &amp; Education</t>
  </si>
  <si>
    <t>level 7</t>
  </si>
  <si>
    <t>Accounts Payable Clerk</t>
  </si>
  <si>
    <t>level 3</t>
  </si>
  <si>
    <t>Chief of Staff</t>
  </si>
  <si>
    <t>Line Item 2.1</t>
  </si>
  <si>
    <t>Line Item 2.2</t>
  </si>
  <si>
    <t>Line Item 2.3</t>
  </si>
  <si>
    <t>Line Item 2.4</t>
  </si>
  <si>
    <t>Line Item 2.5</t>
  </si>
  <si>
    <t>Total</t>
  </si>
  <si>
    <t>LRO</t>
  </si>
  <si>
    <t>SEVERANCE PAY / INDEMNITÉS DE DÉPART</t>
  </si>
  <si>
    <t>Staff Severance Pay / Indemnité de départ - Personel</t>
  </si>
  <si>
    <r>
      <t xml:space="preserve">Document Severance identifies the liability calculations for employees to </t>
    </r>
    <r>
      <rPr>
        <b/>
        <sz val="11"/>
        <color theme="1"/>
        <rFont val="Calibri"/>
        <family val="2"/>
      </rPr>
      <t>$424K for YE22.</t>
    </r>
    <r>
      <rPr>
        <sz val="11"/>
        <color theme="1"/>
        <rFont val="Calibri"/>
        <family val="2"/>
        <scheme val="minor"/>
      </rPr>
      <t xml:space="preserve"> It is fair to assume that not all employees will cash out their severance, as well some employees have not reached the 5 year threshhold of withdrawing funds (22/34 will not reach 5 years during this FY). </t>
    </r>
    <r>
      <rPr>
        <b/>
        <sz val="11"/>
        <color theme="1"/>
        <rFont val="Calibri"/>
        <family val="2"/>
        <scheme val="minor"/>
      </rPr>
      <t>Therefore 1/3rd of the total amount would be a fair estimate.</t>
    </r>
  </si>
  <si>
    <r>
      <rPr>
        <sz val="11"/>
        <rFont val="Calibri"/>
        <family val="2"/>
        <scheme val="minor"/>
      </rPr>
      <t>Le document de calcul des indemnités de départ indique qu</t>
    </r>
    <r>
      <rPr>
        <sz val="11"/>
        <color theme="1"/>
        <rFont val="Calibri"/>
        <family val="2"/>
        <scheme val="minor"/>
      </rPr>
      <t>e le calcul des obligations liées aux employés est de 424</t>
    </r>
    <r>
      <rPr>
        <b/>
        <sz val="11"/>
        <color theme="1"/>
        <rFont val="Calibri"/>
        <family val="2"/>
        <scheme val="minor"/>
      </rPr>
      <t> 000 $ pour l’exercice 2021</t>
    </r>
    <r>
      <rPr>
        <sz val="11"/>
        <color theme="1"/>
        <rFont val="Calibri"/>
        <family val="2"/>
        <scheme val="minor"/>
      </rPr>
      <t xml:space="preserve">. Il est juste de présumer que tous les employés ne toucheront pas leur indemnité de départ, et que certains employés n’ont pas atteint le seuil de 5 ans pour le retrait des fonds (22/34 n’atteindront pas 5 ans au cours de l’exercice). </t>
    </r>
    <r>
      <rPr>
        <b/>
        <sz val="11"/>
        <color theme="1"/>
        <rFont val="Calibri"/>
        <family val="2"/>
        <scheme val="minor"/>
      </rPr>
      <t>Par conséquent, le tiers du montant total serait une estimation juste</t>
    </r>
    <r>
      <rPr>
        <b/>
        <sz val="11"/>
        <color theme="1"/>
        <rFont val="Verdana"/>
        <family val="2"/>
      </rPr>
      <t>.</t>
    </r>
  </si>
  <si>
    <t>Management Severance Pay / Indemnité de départ - Direction</t>
  </si>
  <si>
    <r>
      <t xml:space="preserve">Document Severance identifies liability for management as </t>
    </r>
    <r>
      <rPr>
        <b/>
        <sz val="11"/>
        <color theme="1"/>
        <rFont val="Calibri"/>
        <family val="2"/>
      </rPr>
      <t>$66K</t>
    </r>
    <r>
      <rPr>
        <sz val="11"/>
        <color theme="1"/>
        <rFont val="Calibri"/>
        <family val="2"/>
        <scheme val="minor"/>
      </rPr>
      <t>. It is fair to assume that not all management would c</t>
    </r>
    <r>
      <rPr>
        <b/>
        <sz val="11"/>
        <color theme="1"/>
        <rFont val="Calibri"/>
        <family val="2"/>
        <scheme val="minor"/>
      </rPr>
      <t>ash out their severance within one fiscal year.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Half of this amount is a fair estimate.</t>
    </r>
  </si>
  <si>
    <r>
      <t>Le document de calcul des indemnités de départ indique que les obligations liées à la direction s’établissent à</t>
    </r>
    <r>
      <rPr>
        <b/>
        <sz val="9"/>
        <color theme="1"/>
        <rFont val="Verdana"/>
        <family val="2"/>
      </rPr>
      <t xml:space="preserve"> 66 000 $</t>
    </r>
    <r>
      <rPr>
        <sz val="11"/>
        <color theme="1"/>
        <rFont val="Calibri"/>
        <family val="2"/>
        <scheme val="minor"/>
      </rPr>
      <t xml:space="preserve">. Il est juste de présumer que tous les dirigeants </t>
    </r>
    <r>
      <rPr>
        <b/>
        <sz val="9"/>
        <color theme="1"/>
        <rFont val="Verdana"/>
        <family val="2"/>
      </rPr>
      <t>n’encaisseront pas leur indemnité de départ au cours d’un exercice</t>
    </r>
    <r>
      <rPr>
        <sz val="11"/>
        <color theme="1"/>
        <rFont val="Calibri"/>
        <family val="2"/>
        <scheme val="minor"/>
      </rPr>
      <t>.</t>
    </r>
    <r>
      <rPr>
        <b/>
        <sz val="9"/>
        <color theme="1"/>
        <rFont val="Verdana"/>
        <family val="2"/>
      </rPr>
      <t xml:space="preserve"> La moitié de ce montant est une estimation juste.</t>
    </r>
  </si>
  <si>
    <t>COMMUNICATION / COMMUNICATION</t>
  </si>
  <si>
    <t>External Printing / Impression</t>
  </si>
  <si>
    <t>Postage / Affranchissement</t>
  </si>
  <si>
    <t>Translation / Traduction</t>
  </si>
  <si>
    <t>Telephone / Téléphone</t>
  </si>
  <si>
    <r>
      <t xml:space="preserve">Monthly plan of </t>
    </r>
    <r>
      <rPr>
        <b/>
        <sz val="11"/>
        <rFont val="Calibri"/>
        <family val="2"/>
        <scheme val="minor"/>
      </rPr>
      <t>$75/month</t>
    </r>
    <r>
      <rPr>
        <sz val="11"/>
        <rFont val="Calibri"/>
        <family val="2"/>
        <scheme val="minor"/>
      </rPr>
      <t xml:space="preserve"> (including line + hardware with TELUS) times 52 staff will result in $46,8K a year plus cost of VoIP of around $15K plus a buffer of 4,000$ (rounded) to account for roaming, additional fees. </t>
    </r>
  </si>
  <si>
    <r>
      <t xml:space="preserve">Le plan mensuel de </t>
    </r>
    <r>
      <rPr>
        <b/>
        <sz val="11"/>
        <rFont val="Calibri"/>
        <family val="2"/>
        <scheme val="minor"/>
      </rPr>
      <t>75 $ par mois</t>
    </r>
    <r>
      <rPr>
        <sz val="11"/>
        <rFont val="Calibri"/>
        <family val="2"/>
        <scheme val="minor"/>
      </rPr>
      <t xml:space="preserve"> (incluant la ligne + le matériel avec TELUS) s’établira à 46 800 $ par année pour 52 employés, plus le coût du service voix sur IP d’environ 15 000 $, plus un coussin de 4 000 $ (arrondi). Ce poste est ensuite légèrement augmenté pour tenir compte de l’itinérance, des frais supplémentaires, etc. </t>
    </r>
  </si>
  <si>
    <t>Internet / Internet</t>
  </si>
  <si>
    <r>
      <t xml:space="preserve">Negotiated set term for five years for upgraded internet (150mb up/down vs current 50mb up/down) while remaining within already allocated budget. This results to costs of </t>
    </r>
    <r>
      <rPr>
        <b/>
        <sz val="11"/>
        <color theme="1"/>
        <rFont val="Calibri"/>
        <family val="2"/>
        <scheme val="minor"/>
      </rPr>
      <t>$10,000 per year (around 750$/month)</t>
    </r>
    <r>
      <rPr>
        <sz val="11"/>
        <color theme="1"/>
        <rFont val="Calibri"/>
        <family val="2"/>
        <scheme val="minor"/>
      </rPr>
      <t xml:space="preserve"> with $2K as buffer. </t>
    </r>
  </si>
  <si>
    <r>
      <t>Négociation pour la mise à niveau d’internet sur 5 ans (150 Mo connexion ascendante/descendante par rapport à 50 Mo connexion ascendante/descendante actuellement) tout en respectant le budget déjà alloué. Cela se traduit par des coûts de 10</t>
    </r>
    <r>
      <rPr>
        <b/>
        <sz val="9"/>
        <color theme="1"/>
        <rFont val="Verdana"/>
        <family val="2"/>
      </rPr>
      <t> 000 $ par année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Verdana"/>
        <family val="2"/>
      </rPr>
      <t xml:space="preserve">(environ 750 $/mois) </t>
    </r>
    <r>
      <rPr>
        <sz val="11"/>
        <color theme="1"/>
        <rFont val="Calibri"/>
        <family val="2"/>
        <scheme val="minor"/>
      </rPr>
      <t>avec 2 000 $ comme marge.</t>
    </r>
  </si>
  <si>
    <t>Promotional Material / Matérial promotionel</t>
  </si>
  <si>
    <t>TRAINNING AND DEVELOPMENT / FORMATION ET PERFECTIONNEMENT</t>
  </si>
  <si>
    <t xml:space="preserve">Members' and Stewards' Training / </t>
  </si>
  <si>
    <t>Accommodations&amp;Food / 
Hébergement et nourriture</t>
  </si>
  <si>
    <t xml:space="preserve">Adjust for inflation (5%)
</t>
  </si>
  <si>
    <t>Augmenter le montant pour l'inflation (5%)</t>
  </si>
  <si>
    <t>Travel / 
Déplacements</t>
  </si>
  <si>
    <t>Salary reimbursement /
Remboursements de salaires</t>
  </si>
  <si>
    <t xml:space="preserve">Amount carried forward from prior year
</t>
  </si>
  <si>
    <t>Montant reporté de l'année précédente</t>
  </si>
  <si>
    <t>Staff development /
Perfectionnement du personnel</t>
  </si>
  <si>
    <t>Mgt. Development /
Perfectionnement direction</t>
  </si>
  <si>
    <t>President Development / 
Perfectionnement Président</t>
  </si>
  <si>
    <t>Language training / 
Cours de langue</t>
  </si>
  <si>
    <t xml:space="preserve">3 sessions: Arbitration Skills, Anti-Bias Training, Advanced Techniques in Cross-Examination) --&gt; raise skills of LROs (new team members) </t>
  </si>
  <si>
    <t xml:space="preserve">3 sessions : Compétences en matière d'arbitrage, formation anti-discrimination, techniques avancées de contre-interrogatoire) --&gt; améliorer les compétences des ART (nouveaux membres de l'équipe). </t>
  </si>
  <si>
    <t>PROFESIONNAL FEES / HONORAIRES PROFESIONELS</t>
  </si>
  <si>
    <t>Legal - Membership Representation /  
Juridique/Arbitrage (Serv. prof.)</t>
  </si>
  <si>
    <t xml:space="preserve">Increase based on actual spend over the past 12 months
</t>
  </si>
  <si>
    <t>Augmentation basée sur les dépenses réelles au cours des 12 derniers mois</t>
  </si>
  <si>
    <t>Legal -Bylaw 5, Constitution /
 Juridique/Arbitrage (Pétition)</t>
  </si>
  <si>
    <t>Legal - Internal /
 Juridique/Arbitrage (Interne)</t>
  </si>
  <si>
    <t>Legal - Contingency Fund /
Juridique frais imprévus</t>
  </si>
  <si>
    <t>Mgmt fees - Cash and Pension Investments / 
 Frais de gestion - Placements en espèces et en régimes de retraite</t>
  </si>
  <si>
    <t xml:space="preserve">Increase based on actual spend over past 12 months
</t>
  </si>
  <si>
    <t>Consultants fees /
 Honoraires de consultants</t>
  </si>
  <si>
    <t>No longer includes temporary staffing costs (see 2.6)</t>
  </si>
  <si>
    <t>Ne comprend plus les frais de personnel temporaire (voir 2.6)</t>
  </si>
  <si>
    <t xml:space="preserve"> </t>
  </si>
  <si>
    <t>Audit /  
Vérification</t>
  </si>
  <si>
    <t>7,6 Consultants fees estimation - details / Honoraires de consultants - détails</t>
  </si>
  <si>
    <t>Deloitte</t>
  </si>
  <si>
    <t>Consulting services for Finance Dept</t>
  </si>
  <si>
    <t>Mercer</t>
  </si>
  <si>
    <t>Comms: Graphic design, video/audio production, copywriting</t>
  </si>
  <si>
    <t>Headhunter - LRO/
Chasseur de tête - LRO</t>
  </si>
  <si>
    <t>Chief of Staff (level 7) &amp; 2 LROs</t>
  </si>
  <si>
    <r>
      <t xml:space="preserve">Total </t>
    </r>
    <r>
      <rPr>
        <b/>
        <sz val="11"/>
        <rFont val="Calibri"/>
        <family val="2"/>
      </rPr>
      <t>excluding ongoing project</t>
    </r>
    <r>
      <rPr>
        <b/>
        <sz val="11"/>
        <rFont val="Calibri"/>
        <family val="2"/>
        <scheme val="minor"/>
      </rPr>
      <t xml:space="preserve"> /
Total excluant les honoraires professionnels pour les projets spéciaux</t>
    </r>
  </si>
  <si>
    <t>OFFICE EXPENSES / DÉPENSES DE BUREAU</t>
  </si>
  <si>
    <t xml:space="preserve">  Supplies /
 Matériel de bureau</t>
  </si>
  <si>
    <t>Amount carried forward from prior year</t>
  </si>
  <si>
    <t xml:space="preserve">  Rental of equipment /
 Location de matériel</t>
  </si>
  <si>
    <t>Decrease slightly based on actual spend</t>
  </si>
  <si>
    <t>Diminuer légèrement en fonction des dépenses réelles</t>
  </si>
  <si>
    <t xml:space="preserve">  Reference material /
 Matériel de référence</t>
  </si>
  <si>
    <t>Based on calculations below</t>
  </si>
  <si>
    <t>Sur la base des calculs ci-dessous</t>
  </si>
  <si>
    <t xml:space="preserve">  Repairs and maintenance /
 Réparations et entretien</t>
  </si>
  <si>
    <t xml:space="preserve">  Insurance / Assurances</t>
  </si>
  <si>
    <r>
      <t xml:space="preserve">Insurance from Smith Petrie Carr &amp; Scott for : Fiduciary Liability insurance (2,500$), Multi Perils (5,700$) and Insurance premium (31,200$). 
There seems to be an </t>
    </r>
    <r>
      <rPr>
        <b/>
        <sz val="11"/>
        <color theme="1"/>
        <rFont val="Calibri"/>
        <family val="2"/>
      </rPr>
      <t xml:space="preserve">increase for the premium over the year </t>
    </r>
    <r>
      <rPr>
        <sz val="11"/>
        <color theme="1"/>
        <rFont val="Calibri"/>
        <family val="2"/>
        <scheme val="minor"/>
      </rPr>
      <t xml:space="preserve">(19K$ for FY20 vs 31K$ for FY21). Based on FY21 insurance cost of 40,000$, </t>
    </r>
    <r>
      <rPr>
        <b/>
        <sz val="11"/>
        <color theme="1"/>
        <rFont val="Calibri"/>
        <family val="2"/>
        <scheme val="minor"/>
      </rPr>
      <t>an amount of 50,000$ should be budgeted to keep a buffer of 10K$ in case there is any increase again on the premium.</t>
    </r>
    <r>
      <rPr>
        <sz val="11"/>
        <color theme="1"/>
        <rFont val="Calibri"/>
        <family val="2"/>
        <scheme val="minor"/>
      </rPr>
      <t xml:space="preserve">                                                      </t>
    </r>
  </si>
  <si>
    <r>
      <t xml:space="preserve">Assurance de Smith Petrie Carr &amp; Scott pour : Assurance responsabilité fiduciaire (2,500$), Multi Perils (5,700$) et Prime d'assurance (31,200$).
Il semble y avoir une </t>
    </r>
    <r>
      <rPr>
        <b/>
        <sz val="11"/>
        <color theme="1"/>
        <rFont val="Calibri"/>
        <family val="2"/>
      </rPr>
      <t>augmentation de la prime sur l'année</t>
    </r>
    <r>
      <rPr>
        <sz val="11"/>
        <color theme="1"/>
        <rFont val="Calibri"/>
        <family val="2"/>
        <scheme val="minor"/>
      </rPr>
      <t xml:space="preserve"> (19K$ pour FY20 vs 31K$ pour FY21). Sur la base d'un coût d'assurance FY21 de 40 000 </t>
    </r>
    <r>
      <rPr>
        <b/>
        <sz val="11"/>
        <color theme="1"/>
        <rFont val="Calibri"/>
        <family val="2"/>
        <scheme val="minor"/>
      </rPr>
      <t>$, un montant de 50 000 $ devrait être budgété</t>
    </r>
    <r>
      <rPr>
        <sz val="11"/>
        <color theme="1"/>
        <rFont val="Calibri"/>
        <family val="2"/>
        <scheme val="minor"/>
      </rPr>
      <t xml:space="preserve"> pour prévoir une variation additionnelle de 10,000 $ au cas où la prime augmenterait à nouveau.  </t>
    </r>
  </si>
  <si>
    <t xml:space="preserve">  Bank charges / Frais bancaires</t>
  </si>
  <si>
    <t xml:space="preserve">  Miscellaneous / Divers</t>
  </si>
  <si>
    <t>Relocation Expenses / Frais de déménagement</t>
  </si>
  <si>
    <t>New GL to track expenses associated with move to Constitution Square</t>
  </si>
  <si>
    <t>Nouveau GL pour suivre les dépenses associées au déménagement à Constitution Square</t>
  </si>
  <si>
    <t>Rental of equipement (FY21) - Details /  Location de matériel (2020-2021) - Détails</t>
  </si>
  <si>
    <t>CBSC Capital - Photocopier Lease / Location photocopieur</t>
  </si>
  <si>
    <t>Quench - Watercooler / Refroidisseur d'eau</t>
  </si>
  <si>
    <t>Reference material (PY21) - Details / Matériel de référence (2020-2021) - Détails</t>
  </si>
  <si>
    <t>Globe and mail - monthly subs / Abonnement mensuel</t>
  </si>
  <si>
    <t>Thomson Reuters - monthly subs / Abonnement mensuel</t>
  </si>
  <si>
    <t>Westlaw ($3000 per month) and Brown &amp; Beatty ($1000 per release, based on 6 last year)</t>
  </si>
  <si>
    <t>COMMS: Harvard Business Review &amp; Package, Hill Times, The Star, La Presse, Actualité, Le Devoir, National Observer, Canadian HR Reporter.  (See line 8.3)</t>
  </si>
  <si>
    <t>HR Insider</t>
  </si>
  <si>
    <t>EQUIPMENT / ACHATS D'ÉQUIPEMENTS</t>
  </si>
  <si>
    <t>Business Equipment / Équipement d'affaires</t>
  </si>
  <si>
    <r>
      <t xml:space="preserve">This line budget item GL contains laptop, tablets, monitors and laptop/tablets accessories. 
</t>
    </r>
    <r>
      <rPr>
        <b/>
        <sz val="11"/>
        <color theme="1"/>
        <rFont val="Calibri"/>
        <family val="2"/>
      </rPr>
      <t xml:space="preserve">Laptop and tablets will now be capitalized and be amortised. See amortization tab. 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</si>
  <si>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Ce poste budgétaire contient des ordinateurs portables, des tablettes, des moniteurs et des accessoires pour ordinateurs portables/tablettes.
</t>
    </r>
    <r>
      <rPr>
        <b/>
        <sz val="11"/>
        <color theme="1"/>
        <rFont val="Calibri"/>
        <family val="2"/>
      </rPr>
      <t>Les ordinateurs portables et les tablettes seront désormais capitalisés et amortis. Voir onglet amortissement.</t>
    </r>
  </si>
  <si>
    <t>Office Furniture /Équipement de bureau</t>
  </si>
  <si>
    <r>
      <t xml:space="preserve">This line budget item GL contains mostly chair and desk for staff, which can be capitalised and amortised. 
</t>
    </r>
    <r>
      <rPr>
        <b/>
        <sz val="11"/>
        <color theme="1"/>
        <rFont val="Calibri"/>
        <family val="2"/>
      </rPr>
      <t xml:space="preserve">This line item will now be capitalised and be amortised. See amortization tab. 
</t>
    </r>
  </si>
  <si>
    <r>
      <t xml:space="preserve">Ce poste budgétaire contient principalement chaises et bureaux pour le personnel, qui peuvent être capitalisés et amortis.
</t>
    </r>
    <r>
      <rPr>
        <b/>
        <sz val="11"/>
        <color theme="1"/>
        <rFont val="Calibri"/>
        <family val="2"/>
      </rPr>
      <t>Ce poste sera désormais capitalisé et amorti. Voir onglet amortissement.</t>
    </r>
  </si>
  <si>
    <t>RENT AND OPERATING EXPENSES / DÉPENSES DE LOCATION ET D'EXPLOITATION</t>
  </si>
  <si>
    <t xml:space="preserve">  Rent / Loyer</t>
  </si>
  <si>
    <t xml:space="preserve">  Operating / Dépenses d'exploitation</t>
  </si>
  <si>
    <t>Estimated Rent and Operating Costs for Constitution Square:</t>
  </si>
  <si>
    <t>Rent</t>
  </si>
  <si>
    <t>Operating Costs</t>
  </si>
  <si>
    <t>Prorated Rent and Operating Costs for WEP (May and June 2022)</t>
  </si>
  <si>
    <t>COMPUTER EXPENSES / DÉPENSES D'INFORMATIQUE</t>
  </si>
  <si>
    <t xml:space="preserve">Line # / Ligne # </t>
  </si>
  <si>
    <t>Budget Line name / Nom de la ligne budgétaire</t>
  </si>
  <si>
    <t xml:space="preserve">  Web site/DLT  / Site Web/ TGLD</t>
  </si>
  <si>
    <t xml:space="preserve">  Software and Maintenance / Entretien et licences</t>
  </si>
  <si>
    <t xml:space="preserve">  Minor capital Purchases (&lt;$1,000) / Achats &lt;$1,000</t>
  </si>
  <si>
    <t xml:space="preserve">  Software / Logiciels</t>
  </si>
  <si>
    <r>
      <t xml:space="preserve">These amount are either </t>
    </r>
    <r>
      <rPr>
        <b/>
        <sz val="11"/>
        <color theme="1"/>
        <rFont val="Calibri"/>
        <family val="2"/>
      </rPr>
      <t>already included in 11,1 or 11,2</t>
    </r>
    <r>
      <rPr>
        <sz val="11"/>
        <color theme="1"/>
        <rFont val="Calibri"/>
        <family val="2"/>
        <scheme val="minor"/>
      </rPr>
      <t xml:space="preserve"> for non capitalizable expenditure or </t>
    </r>
    <r>
      <rPr>
        <b/>
        <sz val="11"/>
        <color theme="1"/>
        <rFont val="Calibri"/>
        <family val="2"/>
        <scheme val="minor"/>
      </rPr>
      <t>will be capitalized</t>
    </r>
    <r>
      <rPr>
        <sz val="11"/>
        <color theme="1"/>
        <rFont val="Calibri"/>
        <family val="2"/>
        <scheme val="minor"/>
      </rPr>
      <t xml:space="preserve">, if applicable. See amortization tab. 
</t>
    </r>
  </si>
  <si>
    <r>
      <t xml:space="preserve">Ces montants sont soit </t>
    </r>
    <r>
      <rPr>
        <b/>
        <sz val="11"/>
        <color theme="1"/>
        <rFont val="Calibri"/>
        <family val="2"/>
      </rPr>
      <t>déjà incluent dans les lignes 11,1 ou 11,2</t>
    </r>
    <r>
      <rPr>
        <sz val="11"/>
        <color theme="1"/>
        <rFont val="Calibri"/>
        <family val="2"/>
        <scheme val="minor"/>
      </rPr>
      <t xml:space="preserve"> pour les dépenses non capitalisables ou</t>
    </r>
    <r>
      <rPr>
        <b/>
        <sz val="11"/>
        <color theme="1"/>
        <rFont val="Calibri"/>
        <family val="2"/>
        <scheme val="minor"/>
      </rPr>
      <t xml:space="preserve"> seront capitalisés</t>
    </r>
    <r>
      <rPr>
        <sz val="11"/>
        <color theme="1"/>
        <rFont val="Calibri"/>
        <family val="2"/>
        <scheme val="minor"/>
      </rPr>
      <t xml:space="preserve">, si applicable. Voir l'onglet d'amortissement. </t>
    </r>
  </si>
  <si>
    <t xml:space="preserve">  Programming / Programmation</t>
  </si>
  <si>
    <r>
      <t xml:space="preserve">These amounts are </t>
    </r>
    <r>
      <rPr>
        <b/>
        <sz val="11"/>
        <color theme="1"/>
        <rFont val="Calibri"/>
        <family val="2"/>
      </rPr>
      <t>already budgeted in 11,1, and 11,2</t>
    </r>
    <r>
      <rPr>
        <sz val="11"/>
        <color theme="1"/>
        <rFont val="Calibri"/>
        <family val="2"/>
        <scheme val="minor"/>
      </rPr>
      <t xml:space="preserve">. Therefore, 0$. </t>
    </r>
  </si>
  <si>
    <r>
      <t>Ces montants s</t>
    </r>
    <r>
      <rPr>
        <b/>
        <sz val="11"/>
        <color theme="1"/>
        <rFont val="Calibri"/>
        <family val="2"/>
      </rPr>
      <t>ont déjà budgétisés dans la ligne 11,1 et 11,2.</t>
    </r>
    <r>
      <rPr>
        <sz val="11"/>
        <color theme="1"/>
        <rFont val="Calibri"/>
        <family val="2"/>
        <scheme val="minor"/>
      </rPr>
      <t xml:space="preserve"> Donc 0$. </t>
    </r>
  </si>
  <si>
    <t>Software and Maintenance - Details / Logiciel et maintenance - Détails</t>
  </si>
  <si>
    <t>Quickbooks</t>
  </si>
  <si>
    <t>Drupal</t>
  </si>
  <si>
    <t>new contract</t>
  </si>
  <si>
    <t>Fully managed</t>
  </si>
  <si>
    <t>Zoom</t>
  </si>
  <si>
    <t>Mailchimp</t>
  </si>
  <si>
    <t>ADP</t>
  </si>
  <si>
    <t>Antidote</t>
  </si>
  <si>
    <t>54/license</t>
  </si>
  <si>
    <t>Adobe Teams</t>
  </si>
  <si>
    <t>SAP Concur</t>
  </si>
  <si>
    <t>Pantheon</t>
  </si>
  <si>
    <t>Docusign</t>
  </si>
  <si>
    <t>Power Objects</t>
  </si>
  <si>
    <t>Remarkable Tablets</t>
  </si>
  <si>
    <t>Simply Voting</t>
  </si>
  <si>
    <t>Comms Software</t>
  </si>
  <si>
    <t>Annual Connected Office Starter</t>
  </si>
  <si>
    <t>Articulate360</t>
  </si>
  <si>
    <t>Convert $1299 USD to CAD at current exchange rate</t>
  </si>
  <si>
    <t>MS Dynamics</t>
  </si>
  <si>
    <t>COMMUNICATIONS SOFTWARE:</t>
  </si>
  <si>
    <t>Adobe Creative Suite + Licenses</t>
  </si>
  <si>
    <t>SurveyMonkey</t>
  </si>
  <si>
    <t>MailChimp</t>
  </si>
  <si>
    <t>see above</t>
  </si>
  <si>
    <t xml:space="preserve">Antidote (Translation) </t>
  </si>
  <si>
    <t>Transearch</t>
  </si>
  <si>
    <t>(1 user)</t>
  </si>
  <si>
    <r>
      <t>Deepl Pro -</t>
    </r>
    <r>
      <rPr>
        <sz val="11"/>
        <color theme="1"/>
        <rFont val="Calibri"/>
        <family val="2"/>
        <scheme val="minor"/>
      </rPr>
      <t>Starter</t>
    </r>
  </si>
  <si>
    <t>($8,99 x 6 users x 12)</t>
  </si>
  <si>
    <t xml:space="preserve">Simply Voting </t>
  </si>
  <si>
    <t>If we assume that there are 2 votes and 2 elections in any given year, we should budget for the following amount:</t>
  </si>
  <si>
    <t>$4,024.70             (+/- $0.18 per elector)</t>
  </si>
  <si>
    <t>+             $1,500.00 x 4</t>
  </si>
  <si>
    <t>+             $950.00 x2</t>
  </si>
  <si>
    <t>___________________</t>
  </si>
  <si>
    <r>
      <t xml:space="preserve">≈             </t>
    </r>
    <r>
      <rPr>
        <b/>
        <sz val="11"/>
        <color theme="1"/>
        <rFont val="Calibri"/>
        <family val="2"/>
        <scheme val="minor"/>
      </rPr>
      <t>12,000.00</t>
    </r>
  </si>
  <si>
    <t>3 neg</t>
  </si>
  <si>
    <t>3 mem</t>
  </si>
  <si>
    <t>1 dues</t>
  </si>
  <si>
    <t>2 elections</t>
  </si>
  <si>
    <t>w/ Francis</t>
  </si>
  <si>
    <t>TRAVEL / DÉPLACEMENTS</t>
  </si>
  <si>
    <t>LRO representational services / LRO services de représentation</t>
  </si>
  <si>
    <t>Increase for inflation (5%)</t>
  </si>
  <si>
    <t xml:space="preserve">  Conferences / Conférences</t>
  </si>
  <si>
    <t xml:space="preserve">  President travel / Frais de voyage du Président</t>
  </si>
  <si>
    <t>President Regional Council Travel / Voyage du présent : conseil régional</t>
  </si>
  <si>
    <t>Travel to locals : President / Voyage aux locales : Président</t>
  </si>
  <si>
    <t>Travel to locals : Staff &amp; NEC</t>
  </si>
  <si>
    <t xml:space="preserve">MEETINGS / DÉPENSES DE RÉUNION </t>
  </si>
  <si>
    <t xml:space="preserve">  AGM/MBM   /   AGA/AGB</t>
  </si>
  <si>
    <t xml:space="preserve">  National Executive /   Comité exécutif national</t>
  </si>
  <si>
    <t xml:space="preserve"> Sub Committees related expenses / Dépenses de sous comité</t>
  </si>
  <si>
    <t xml:space="preserve">  LLC / Presidents Council /   Dirigeants locaux</t>
  </si>
  <si>
    <t xml:space="preserve">  Salary reimbursement (constitutional comittees) / remboursement de salaire (comités constitutionnel)</t>
  </si>
  <si>
    <t xml:space="preserve">  Business Luncheons / Déjeuner d'affaires</t>
  </si>
  <si>
    <t xml:space="preserve">  Staff / personnel</t>
  </si>
  <si>
    <t xml:space="preserve">  Mobilization, Engagement, Educ. / Mobilisation, engagement et éducation</t>
  </si>
  <si>
    <t>Increase in educational events and creation of Local Liaison position</t>
  </si>
  <si>
    <t>Augmentation des événements éducatifs et création d'un poste de liaison locale</t>
  </si>
  <si>
    <t xml:space="preserve">  Candidate's Forum / Forums des candidats</t>
  </si>
  <si>
    <t xml:space="preserve">By-elections
</t>
  </si>
  <si>
    <t>Élections partielles</t>
  </si>
  <si>
    <t>13.11</t>
  </si>
  <si>
    <t>Regional councils / Conseils régionaux</t>
  </si>
  <si>
    <t>NEC Special Meetings / CNE rencontres spéciales</t>
  </si>
  <si>
    <t xml:space="preserve">Assumes 2 special meetings
</t>
  </si>
  <si>
    <t>Suppose 2 réunions spéciales</t>
  </si>
  <si>
    <t>NEC Workshop / Atelier CEN</t>
  </si>
  <si>
    <t xml:space="preserve">1 day in Ottawa
</t>
  </si>
  <si>
    <t>Un jour à Ottawa</t>
  </si>
  <si>
    <t>Staff Workshop / Atelier personnel</t>
  </si>
  <si>
    <t>COLLECTIVE BARGAINING / NÉGOCIATION COLLECTIVE</t>
  </si>
  <si>
    <t>Collective Bargaining / Négociation collective</t>
  </si>
  <si>
    <t>CANADIAN LABOUR CONGRESS / CONGRÈS DU TRAVAIL DU CANADA</t>
  </si>
  <si>
    <t>Per capita taxes / Taxes par capita</t>
  </si>
  <si>
    <t xml:space="preserve">CLC related expenses. 0,81$ per member per month (23,000*.81*12 = $223,560) </t>
  </si>
  <si>
    <r>
      <t xml:space="preserve">Dépenses relatives aux CTC. 0,81$ par membre par mois. </t>
    </r>
    <r>
      <rPr>
        <b/>
        <sz val="11"/>
        <color theme="1"/>
        <rFont val="Calibri"/>
        <family val="2"/>
      </rPr>
      <t>0,81$</t>
    </r>
    <r>
      <rPr>
        <sz val="11"/>
        <color theme="1"/>
        <rFont val="Calibri"/>
        <family val="2"/>
        <scheme val="minor"/>
      </rPr>
      <t xml:space="preserve"> par membre (0.81 * 12 * 23,000  =$223,560)</t>
    </r>
  </si>
  <si>
    <t>Tri-annual Convention &amp; Meetings / Congrès et réunions trisannuels</t>
  </si>
  <si>
    <t xml:space="preserve">Non-convention years $25K (FY 22/23 &amp; 23/24), Convention years $100K (FY 24/25)
</t>
  </si>
  <si>
    <t>Année sans congrès $25K (AF 22/23, 23/24), Année du congrès $100K (2024-2025)</t>
  </si>
  <si>
    <t>LOCAL REBATES / REMISES AUX SECTIONS LOCALES</t>
  </si>
  <si>
    <t>Local Rebates / Remises aux sections locales</t>
  </si>
  <si>
    <t>Nationally Managed Local Exp. / Dépenses gérées au palier national</t>
  </si>
  <si>
    <t>Move to 12.4 (new category) as per NEC motion adopted on July 31, 2020</t>
  </si>
  <si>
    <t>Passer à 12.4 (nouvelle catégorie) conformément à la motion du CEN adoptée le 31 juillet 2020</t>
  </si>
  <si>
    <t>Leaving unchanged for 2023</t>
  </si>
  <si>
    <t>CONTRIBUTIONS</t>
  </si>
  <si>
    <t>DEFENSE FUND / FOND DE DÉFENSE</t>
  </si>
  <si>
    <t>Defense fund / Fond de défense</t>
  </si>
  <si>
    <r>
      <t xml:space="preserve">Finance commitee sugested to keep </t>
    </r>
    <r>
      <rPr>
        <b/>
        <sz val="11"/>
        <color theme="1"/>
        <rFont val="Calibri"/>
        <family val="2"/>
      </rPr>
      <t xml:space="preserve">the amount the same as previous year, 0$. </t>
    </r>
  </si>
  <si>
    <r>
      <t xml:space="preserve">Le comité des finances a suggéré de </t>
    </r>
    <r>
      <rPr>
        <b/>
        <sz val="11"/>
        <color theme="1"/>
        <rFont val="Calibri"/>
        <family val="2"/>
      </rPr>
      <t>budgéter le même montant que les années précédentes, 0$</t>
    </r>
  </si>
  <si>
    <t>CONTINGENCY / FRAIS IMPRÉVUS</t>
  </si>
  <si>
    <t>Executive / Exécutif</t>
  </si>
  <si>
    <t>Administrative / Administratif</t>
  </si>
  <si>
    <t xml:space="preserve">CAPITAL  RESERVES / RÉSERVES DE CAPITAL </t>
  </si>
  <si>
    <t>Furnitures and fixtures / ameublement</t>
  </si>
  <si>
    <r>
      <t xml:space="preserve">G. Phillips suggested approximately </t>
    </r>
    <r>
      <rPr>
        <b/>
        <sz val="11"/>
        <color theme="1"/>
        <rFont val="Calibri"/>
        <family val="2"/>
      </rPr>
      <t xml:space="preserve">150,000$ for the next 10 years. </t>
    </r>
  </si>
  <si>
    <r>
      <t xml:space="preserve">G. Phillips a suggéré un montant de </t>
    </r>
    <r>
      <rPr>
        <b/>
        <sz val="11"/>
        <color theme="1"/>
        <rFont val="Calibri"/>
        <family val="2"/>
      </rPr>
      <t>150,000$ pour les 10 prochaines années.</t>
    </r>
  </si>
  <si>
    <t>Leasehold improvement / améliorations locatives</t>
  </si>
  <si>
    <t>Computer Equipment / Équipement informatique</t>
  </si>
  <si>
    <r>
      <t xml:space="preserve">G. Phillips suggested approximately </t>
    </r>
    <r>
      <rPr>
        <b/>
        <sz val="11"/>
        <color theme="1"/>
        <rFont val="Calibri"/>
        <family val="2"/>
      </rPr>
      <t xml:space="preserve">25,000$ for the next 10 years. </t>
    </r>
  </si>
  <si>
    <r>
      <t xml:space="preserve">G. Phillips a suggéré un montant de </t>
    </r>
    <r>
      <rPr>
        <b/>
        <sz val="11"/>
        <color theme="1"/>
        <rFont val="Calibri"/>
        <family val="2"/>
      </rPr>
      <t>25,000$ pour les 10 prochaines années.</t>
    </r>
  </si>
  <si>
    <t xml:space="preserve">Website and Portal / Site Web et portail </t>
  </si>
  <si>
    <t>for the next 10 years</t>
  </si>
  <si>
    <t xml:space="preserve">150000 for fixture </t>
  </si>
  <si>
    <t>25000 for computer</t>
  </si>
  <si>
    <t>AMORTIZATION FY21-22 / AMORTISSEMENT AF21-22</t>
  </si>
  <si>
    <t>2021-2022 Revised by the NEC</t>
  </si>
  <si>
    <t>AMORTIZATION / AMORTISSEMENT</t>
  </si>
  <si>
    <t>See below calculation /explanation</t>
  </si>
  <si>
    <t>Voir ci-dessous les calculs /explications</t>
  </si>
  <si>
    <t># of years / # d'années</t>
  </si>
  <si>
    <t>Explanations / Explications</t>
  </si>
  <si>
    <t>Cost, beginning of year / Coût, début de l'année</t>
  </si>
  <si>
    <t>Additions FY21-22 / Ajout AF21-22</t>
  </si>
  <si>
    <t>Disposals / Dispositions</t>
  </si>
  <si>
    <t>Cost, end of year / Coût, fin de l'année</t>
  </si>
  <si>
    <t>Acc. Amort, Beginning of year / Acc. amortissement, début de l'année</t>
  </si>
  <si>
    <t>Depreciation / Dépréciation</t>
  </si>
  <si>
    <t>Acc. Amort, End of year / Acc. Amortissement, fin de l'année</t>
  </si>
  <si>
    <t>Net book value / Valeur comptable nette</t>
  </si>
  <si>
    <t>Portal / Portail</t>
  </si>
  <si>
    <t xml:space="preserve">Member portal FY22. 
Jean suggested 30,000$ for the new members portal. /
Portail membre AF22 
J. Ouellette a suggéré un montant de 30,000$ pour le nouveau portail membre. 
</t>
  </si>
  <si>
    <t>Website / Site web</t>
  </si>
  <si>
    <t>Furniture and fixture / Ameublement</t>
  </si>
  <si>
    <t xml:space="preserve">Same amount as previous budget : 50,000$. Will account for new staff.  / Même montant que le budget précédent: 50,000$. Prends en considération les nouveaux employés qui seront embauchés. 
</t>
  </si>
  <si>
    <t>Lease duration</t>
  </si>
  <si>
    <t>8 new employees at 3K$ per employees (based on previous year computer expense amount). At least 30,000$ should be budgeted (24,000$ + buffer).  / 8 nouveaux employées pour un montant de 3K/employé (basé sur les montants de dépenses des années précédentes). Au moins 30,000$ devrait être budgété (24,000$ + coussin)</t>
  </si>
  <si>
    <t>Revised by the NEC</t>
  </si>
  <si>
    <r>
      <t xml:space="preserve">Member portal FY22. 
Jean suggested 30,000$ for the new members portal. /
Portail membre AF22 
J. Ouellette a suggéré un montant de 30,000$ pour le nouveau portail membre. 
</t>
    </r>
    <r>
      <rPr>
        <sz val="11"/>
        <color rgb="FFFF0000"/>
        <rFont val="Calibri"/>
        <family val="2"/>
        <scheme val="minor"/>
      </rPr>
      <t>Revised by the NEC: FY 2021-22 increased by $100,000.</t>
    </r>
  </si>
  <si>
    <r>
      <t xml:space="preserve">Same amount as previous budget : 50,000$. Will account for new staff.  / Même montant que le budget précédent: 50,000$. Prends en considération les nouveaux employés qui seront embauchés. 
</t>
    </r>
    <r>
      <rPr>
        <sz val="11"/>
        <color rgb="FFFF0000"/>
        <rFont val="Calibri"/>
        <family val="2"/>
        <scheme val="minor"/>
      </rPr>
      <t>Revised by the NEC: FY 2021-22 increased by $20,000.</t>
    </r>
  </si>
  <si>
    <t>AMORTIZATION FY22-23 / AMORTISSEMENT AF22-23</t>
  </si>
  <si>
    <t>Explanations / Assumptions</t>
  </si>
  <si>
    <t>Additions FY23 / Ajout AF23</t>
  </si>
  <si>
    <r>
      <t xml:space="preserve">Same amount as previous budget : 50,000$. Will account for new staff.  / Même montant que le budget précédent: 50,000$. Prends en considération les nouveaux employés qui seront embauchés.
</t>
    </r>
    <r>
      <rPr>
        <sz val="11"/>
        <color rgb="FFFF0000"/>
        <rFont val="Calibri"/>
        <family val="2"/>
        <scheme val="minor"/>
      </rPr>
      <t xml:space="preserve">
</t>
    </r>
  </si>
  <si>
    <t xml:space="preserve">Lease duration / durée du bail </t>
  </si>
  <si>
    <t>New CS Lease is 10 years with option to extend for 5 years.  Per lease, $70/sq. ft in allowances</t>
  </si>
  <si>
    <t>10 new positions at $3K per employee; Remarkable tablets for all staff</t>
  </si>
  <si>
    <t>TOTAL</t>
  </si>
  <si>
    <t>Additions FY23-24 / Ajout AF23-24</t>
  </si>
  <si>
    <t>Amortize</t>
  </si>
  <si>
    <t>Cost of Remarquable</t>
  </si>
  <si>
    <t>$449 for tablet plus subscription of $12 per month, 40 employees</t>
  </si>
  <si>
    <t>Cost of Supplies in a normal year</t>
  </si>
  <si>
    <t>LRO Contracts - Temporary Staffing</t>
  </si>
  <si>
    <t>moving costs</t>
  </si>
  <si>
    <t>furniture</t>
  </si>
  <si>
    <t>unforeseen (archive room)</t>
  </si>
  <si>
    <t>fit up</t>
  </si>
  <si>
    <t>150000/yr ten yrs</t>
  </si>
  <si>
    <t>1.5M</t>
  </si>
  <si>
    <t>Move and equip</t>
  </si>
  <si>
    <t>1.7M</t>
  </si>
  <si>
    <t>Getting $60-$70 per sq foot from landlord</t>
  </si>
  <si>
    <t>Movers</t>
  </si>
  <si>
    <t>Keep board room table</t>
  </si>
  <si>
    <t>Furniture to be trashed</t>
  </si>
  <si>
    <t>included in the 20K</t>
  </si>
  <si>
    <t>Liana has contacts</t>
  </si>
  <si>
    <t>RFP</t>
  </si>
  <si>
    <t>Julie to provide floor plan</t>
  </si>
  <si>
    <t>Sharon/Jean/Liana/Julie tenders once floor plan received</t>
  </si>
  <si>
    <t>Claude Dannick filing room clean up</t>
  </si>
  <si>
    <t>staff</t>
  </si>
  <si>
    <t>keep ergo</t>
  </si>
  <si>
    <t>movers</t>
  </si>
  <si>
    <t>lease 2023</t>
  </si>
  <si>
    <t>junk</t>
  </si>
  <si>
    <t xml:space="preserve">Limit Pension Trustee training to 1x per year
</t>
  </si>
  <si>
    <t>Limiter la formation des administrateurs de régime de retraite à 1x par an</t>
  </si>
  <si>
    <t xml:space="preserve">Election year - ROI is uncertain
</t>
  </si>
  <si>
    <t>Année électorale - le retour sur investissement est incertain</t>
  </si>
  <si>
    <r>
      <t xml:space="preserve">Small repairs and maintenances are not anticipated to cost more than </t>
    </r>
    <r>
      <rPr>
        <b/>
        <sz val="11"/>
        <color theme="1"/>
        <rFont val="Calibri"/>
        <family val="2"/>
      </rPr>
      <t>$2.5K per fiscal year.</t>
    </r>
    <r>
      <rPr>
        <sz val="11"/>
        <color theme="1"/>
        <rFont val="Calibri"/>
        <family val="2"/>
        <scheme val="minor"/>
      </rPr>
      <t xml:space="preserve"> 
</t>
    </r>
  </si>
  <si>
    <r>
      <t>Les réparations et entretiens mineurs ne devraient pas être plus de</t>
    </r>
    <r>
      <rPr>
        <b/>
        <sz val="11"/>
        <color theme="1"/>
        <rFont val="Calibri"/>
        <family val="2"/>
      </rPr>
      <t xml:space="preserve"> 2,500 $ par année</t>
    </r>
  </si>
  <si>
    <t xml:space="preserve">This GL contains mostly social events: Christmas lunch party, gifts, parkings, social comittee activities. Social committee budget to be increased as a result of inflation &amp; additional staff ($10K from $6.5K) 
</t>
  </si>
  <si>
    <t xml:space="preserve">Ce GL contient principalement des événements sociaux : repas de Noël, cadeaux, parkings, activités de comités sociaux. Le budget du comité social sera augmenté en raison de l'inflation et du personnel supplémentaire (10 000 $ au lieu de 6 500 $)
</t>
  </si>
  <si>
    <t>Communications</t>
  </si>
  <si>
    <t>Retroactive Dues - Phoenix / Cotisations rétroactives - Phoenix</t>
  </si>
  <si>
    <t>After internal discussions and a review of the most recent membership numbers, total members have been increased to 23,000.  We have also added a dues increase of $12/month</t>
  </si>
  <si>
    <t>Après des discussions internes et un examen du nombre de membres les plus récents, le nombre total de membres est passé à 23 000. Nous avons également ajouté une augmentation des cotisations de 12 $ par mois.</t>
  </si>
  <si>
    <t>Special Levy / Prélèvement spécial</t>
  </si>
  <si>
    <t>Relates to the cost of the two members' resolutions stemming from the 2022 AGM, which will be paid for by Special Levy</t>
  </si>
  <si>
    <t>Concerne le coût des deux résolutions des membres découlant de l'AGA de 2022, qui seront payées par un prélèvement spécial.</t>
  </si>
  <si>
    <r>
      <t>Based on November 2022 premium which is around</t>
    </r>
    <r>
      <rPr>
        <b/>
        <sz val="11"/>
        <color theme="1"/>
        <rFont val="Calibri"/>
        <family val="2"/>
      </rPr>
      <t xml:space="preserve"> 600$ per employee per month plus a health account of 1000$ per employee per year</t>
    </r>
    <r>
      <rPr>
        <sz val="11"/>
        <color theme="1"/>
        <rFont val="Calibri"/>
        <family val="2"/>
        <scheme val="minor"/>
      </rPr>
      <t xml:space="preserve">. Accounted for new staff. See below calculation. 
Added a buffer of 50K$ for FY22-23 for additionnal claims and new staff.  
</t>
    </r>
  </si>
  <si>
    <r>
      <t>En fonction de la prime de novembre 2022 qui est d’environ 6</t>
    </r>
    <r>
      <rPr>
        <b/>
        <sz val="9"/>
        <color theme="1"/>
        <rFont val="Verdana"/>
        <family val="2"/>
      </rPr>
      <t>00 $ par employé par mois et d’un compte de santé de 1 000 $ par employé par an</t>
    </r>
    <r>
      <rPr>
        <sz val="11"/>
        <color theme="1"/>
        <rFont val="Calibri"/>
        <family val="2"/>
        <scheme val="minor"/>
      </rPr>
      <t xml:space="preserve">. Prend en compte les nouveaux employés. Voir le calcul ci-dessous. 
Ajout d’un coussin de 50 000 $ pour les demandes de règlement supplémentaires et les nouveaux employés pour l’exercice 2022-2023. </t>
    </r>
  </si>
  <si>
    <t>Audited Financial Statements /                 États financiers vérifiés</t>
  </si>
  <si>
    <t>Partially Audited / Partiellement vérifié</t>
  </si>
  <si>
    <t>Jan - Dec 2022</t>
  </si>
  <si>
    <t>jan - déc 2022</t>
  </si>
  <si>
    <t>Transportation</t>
  </si>
  <si>
    <t xml:space="preserve"> Staff </t>
  </si>
  <si>
    <t>Personnel</t>
  </si>
  <si>
    <t>FOR DISCUSSION /                POUR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</si>
</sst>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\ &quot;$&quot;_);[Red]\(#,##0\ &quot;$&quot;\)"/>
    <numFmt numFmtId="169" formatCode="_ * #,##0.00_)\ &quot;$&quot;_ ;_ * \(#,##0.00\)\ &quot;$&quot;_ ;_ * &quot;-&quot;??_)\ &quot;$&quot;_ ;_ @_ "/>
    <numFmt numFmtId="170" formatCode="#,##0.0"/>
    <numFmt numFmtId="171" formatCode="0.0"/>
    <numFmt numFmtId="172" formatCode="_-* #,##0_-;\-* #,##0_-;_-* &quot;-&quot;??_-;_-@_-"/>
    <numFmt numFmtId="173" formatCode="_ * #,##0_)\ &quot;$&quot;_ ;_ * \(#,##0\)\ &quot;$&quot;_ ;_ * &quot;-&quot;??_)\ &quot;$&quot;_ ;_ @_ "/>
    <numFmt numFmtId="174" formatCode="&quot;$&quot;#,##0.00"/>
    <numFmt numFmtId="175" formatCode="0_);\(0\)"/>
    <numFmt numFmtId="176" formatCode="&quot;$&quot;#,##0"/>
    <numFmt numFmtId="177" formatCode="[$-F800]dddd\,\ mmmm\ dd\,\ yyyy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B050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B0F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color rgb="FF000000"/>
      <name val="Arial"/>
      <family val="2"/>
    </font>
    <font>
      <strike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</cellStyleXfs>
  <cellXfs count="432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41" fontId="3" fillId="2" borderId="0" xfId="0" applyNumberFormat="1" applyFont="1" applyFill="1"/>
    <xf numFmtId="0" fontId="2" fillId="2" borderId="3" xfId="0" applyFont="1" applyFill="1" applyBorder="1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/>
    <xf numFmtId="0" fontId="9" fillId="2" borderId="0" xfId="0" applyFont="1" applyFill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0" fillId="0" borderId="0" xfId="0" applyFont="1"/>
    <xf numFmtId="0" fontId="11" fillId="0" borderId="0" xfId="0" applyFont="1"/>
    <xf numFmtId="172" fontId="3" fillId="3" borderId="0" xfId="1" applyNumberFormat="1" applyFont="1" applyFill="1"/>
    <xf numFmtId="173" fontId="0" fillId="0" borderId="0" xfId="2" applyNumberFormat="1" applyFont="1"/>
    <xf numFmtId="0" fontId="10" fillId="0" borderId="0" xfId="0" applyFont="1" applyAlignment="1">
      <alignment horizontal="center"/>
    </xf>
    <xf numFmtId="173" fontId="0" fillId="0" borderId="0" xfId="2" applyNumberFormat="1" applyFont="1" applyFill="1"/>
    <xf numFmtId="173" fontId="0" fillId="0" borderId="0" xfId="2" applyNumberFormat="1" applyFont="1" applyFill="1" applyAlignment="1"/>
    <xf numFmtId="0" fontId="0" fillId="0" borderId="12" xfId="0" applyBorder="1"/>
    <xf numFmtId="0" fontId="10" fillId="0" borderId="0" xfId="0" applyFont="1" applyAlignment="1">
      <alignment wrapText="1"/>
    </xf>
    <xf numFmtId="0" fontId="0" fillId="0" borderId="12" xfId="0" applyBorder="1" applyAlignment="1">
      <alignment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2" borderId="0" xfId="0" applyFont="1" applyFill="1" applyAlignment="1">
      <alignment horizontal="left"/>
    </xf>
    <xf numFmtId="172" fontId="3" fillId="5" borderId="0" xfId="1" applyNumberFormat="1" applyFont="1" applyFill="1"/>
    <xf numFmtId="4" fontId="3" fillId="2" borderId="0" xfId="0" applyNumberFormat="1" applyFont="1" applyFill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37" fontId="3" fillId="2" borderId="0" xfId="0" applyNumberFormat="1" applyFont="1" applyFill="1"/>
    <xf numFmtId="0" fontId="5" fillId="2" borderId="4" xfId="0" applyFont="1" applyFill="1" applyBorder="1" applyAlignment="1">
      <alignment horizontal="left"/>
    </xf>
    <xf numFmtId="172" fontId="2" fillId="5" borderId="4" xfId="1" applyNumberFormat="1" applyFont="1" applyFill="1" applyBorder="1"/>
    <xf numFmtId="0" fontId="7" fillId="0" borderId="0" xfId="0" applyFont="1"/>
    <xf numFmtId="3" fontId="5" fillId="2" borderId="0" xfId="0" applyNumberFormat="1" applyFont="1" applyFill="1" applyAlignment="1">
      <alignment horizontal="left"/>
    </xf>
    <xf numFmtId="0" fontId="5" fillId="2" borderId="0" xfId="0" quotePrefix="1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3" fillId="2" borderId="7" xfId="0" applyFont="1" applyFill="1" applyBorder="1"/>
    <xf numFmtId="172" fontId="3" fillId="5" borderId="7" xfId="1" applyNumberFormat="1" applyFont="1" applyFill="1" applyBorder="1"/>
    <xf numFmtId="172" fontId="3" fillId="5" borderId="0" xfId="1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3" xfId="0" applyFont="1" applyFill="1" applyBorder="1"/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172" fontId="3" fillId="5" borderId="0" xfId="1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vertical="top"/>
    </xf>
    <xf numFmtId="172" fontId="2" fillId="5" borderId="4" xfId="1" applyNumberFormat="1" applyFont="1" applyFill="1" applyBorder="1" applyAlignment="1">
      <alignment vertical="top"/>
    </xf>
    <xf numFmtId="170" fontId="3" fillId="2" borderId="0" xfId="0" applyNumberFormat="1" applyFont="1" applyFill="1" applyAlignment="1">
      <alignment horizontal="center"/>
    </xf>
    <xf numFmtId="171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72" fontId="2" fillId="5" borderId="0" xfId="1" applyNumberFormat="1" applyFont="1" applyFill="1" applyBorder="1"/>
    <xf numFmtId="0" fontId="10" fillId="0" borderId="0" xfId="0" applyFont="1" applyAlignment="1">
      <alignment horizontal="right"/>
    </xf>
    <xf numFmtId="172" fontId="0" fillId="0" borderId="0" xfId="1" applyNumberFormat="1" applyFont="1" applyFill="1"/>
    <xf numFmtId="173" fontId="10" fillId="0" borderId="0" xfId="2" applyNumberFormat="1" applyFont="1" applyFill="1"/>
    <xf numFmtId="0" fontId="10" fillId="0" borderId="12" xfId="0" applyFont="1" applyBorder="1"/>
    <xf numFmtId="173" fontId="0" fillId="0" borderId="12" xfId="2" applyNumberFormat="1" applyFont="1" applyBorder="1"/>
    <xf numFmtId="0" fontId="10" fillId="6" borderId="12" xfId="0" applyFont="1" applyFill="1" applyBorder="1" applyAlignment="1">
      <alignment horizontal="center"/>
    </xf>
    <xf numFmtId="173" fontId="8" fillId="0" borderId="12" xfId="2" applyNumberFormat="1" applyFont="1" applyBorder="1" applyAlignment="1">
      <alignment horizontal="center"/>
    </xf>
    <xf numFmtId="173" fontId="8" fillId="0" borderId="12" xfId="2" applyNumberFormat="1" applyFont="1" applyFill="1" applyBorder="1" applyAlignment="1">
      <alignment horizontal="center"/>
    </xf>
    <xf numFmtId="173" fontId="0" fillId="0" borderId="0" xfId="0" applyNumberFormat="1"/>
    <xf numFmtId="0" fontId="0" fillId="3" borderId="0" xfId="0" applyFill="1"/>
    <xf numFmtId="0" fontId="10" fillId="3" borderId="0" xfId="0" applyFont="1" applyFill="1"/>
    <xf numFmtId="0" fontId="12" fillId="0" borderId="0" xfId="0" applyFont="1"/>
    <xf numFmtId="173" fontId="0" fillId="0" borderId="0" xfId="2" applyNumberFormat="1" applyFont="1" applyAlignment="1">
      <alignment horizontal="center"/>
    </xf>
    <xf numFmtId="10" fontId="0" fillId="0" borderId="0" xfId="0" applyNumberFormat="1"/>
    <xf numFmtId="173" fontId="0" fillId="0" borderId="0" xfId="0" applyNumberFormat="1" applyAlignment="1">
      <alignment horizontal="center"/>
    </xf>
    <xf numFmtId="173" fontId="0" fillId="0" borderId="12" xfId="0" applyNumberFormat="1" applyBorder="1"/>
    <xf numFmtId="173" fontId="0" fillId="0" borderId="12" xfId="0" applyNumberFormat="1" applyBorder="1" applyAlignment="1">
      <alignment wrapText="1"/>
    </xf>
    <xf numFmtId="173" fontId="0" fillId="0" borderId="12" xfId="2" applyNumberFormat="1" applyFont="1" applyBorder="1" applyAlignment="1"/>
    <xf numFmtId="173" fontId="0" fillId="0" borderId="12" xfId="2" applyNumberFormat="1" applyFont="1" applyFill="1" applyBorder="1"/>
    <xf numFmtId="173" fontId="0" fillId="0" borderId="12" xfId="2" applyNumberFormat="1" applyFont="1" applyFill="1" applyBorder="1" applyAlignment="1"/>
    <xf numFmtId="0" fontId="16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0" fillId="7" borderId="0" xfId="0" applyFill="1"/>
    <xf numFmtId="0" fontId="10" fillId="7" borderId="0" xfId="0" applyFont="1" applyFill="1"/>
    <xf numFmtId="9" fontId="0" fillId="0" borderId="0" xfId="0" applyNumberFormat="1"/>
    <xf numFmtId="173" fontId="10" fillId="0" borderId="0" xfId="2" applyNumberFormat="1" applyFont="1"/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wrapText="1"/>
    </xf>
    <xf numFmtId="0" fontId="10" fillId="0" borderId="12" xfId="0" applyFont="1" applyBorder="1" applyAlignment="1">
      <alignment horizontal="right"/>
    </xf>
    <xf numFmtId="173" fontId="0" fillId="0" borderId="17" xfId="0" applyNumberFormat="1" applyBorder="1"/>
    <xf numFmtId="173" fontId="10" fillId="0" borderId="6" xfId="0" applyNumberFormat="1" applyFont="1" applyBorder="1" applyAlignment="1">
      <alignment horizontal="center"/>
    </xf>
    <xf numFmtId="9" fontId="10" fillId="0" borderId="5" xfId="3" applyFont="1" applyBorder="1" applyAlignment="1">
      <alignment horizontal="center"/>
    </xf>
    <xf numFmtId="173" fontId="10" fillId="0" borderId="0" xfId="0" applyNumberFormat="1" applyFont="1"/>
    <xf numFmtId="1" fontId="0" fillId="0" borderId="0" xfId="0" applyNumberFormat="1"/>
    <xf numFmtId="168" fontId="10" fillId="0" borderId="0" xfId="0" applyNumberFormat="1" applyFont="1"/>
    <xf numFmtId="168" fontId="0" fillId="0" borderId="0" xfId="0" applyNumberFormat="1"/>
    <xf numFmtId="172" fontId="8" fillId="0" borderId="0" xfId="1" applyNumberFormat="1" applyFont="1"/>
    <xf numFmtId="0" fontId="10" fillId="2" borderId="12" xfId="0" applyFont="1" applyFill="1" applyBorder="1"/>
    <xf numFmtId="173" fontId="0" fillId="2" borderId="12" xfId="2" applyNumberFormat="1" applyFont="1" applyFill="1" applyBorder="1"/>
    <xf numFmtId="173" fontId="0" fillId="2" borderId="0" xfId="2" applyNumberFormat="1" applyFont="1" applyFill="1" applyAlignment="1"/>
    <xf numFmtId="173" fontId="0" fillId="2" borderId="0" xfId="2" applyNumberFormat="1" applyFont="1" applyFill="1"/>
    <xf numFmtId="0" fontId="2" fillId="2" borderId="3" xfId="0" applyFont="1" applyFill="1" applyBorder="1" applyAlignment="1">
      <alignment horizontal="center"/>
    </xf>
    <xf numFmtId="172" fontId="2" fillId="5" borderId="3" xfId="1" applyNumberFormat="1" applyFont="1" applyFill="1" applyBorder="1"/>
    <xf numFmtId="172" fontId="0" fillId="0" borderId="0" xfId="0" applyNumberFormat="1"/>
    <xf numFmtId="172" fontId="10" fillId="0" borderId="0" xfId="0" applyNumberFormat="1" applyFont="1"/>
    <xf numFmtId="0" fontId="10" fillId="0" borderId="9" xfId="0" applyFont="1" applyBorder="1"/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39" fontId="10" fillId="0" borderId="7" xfId="0" applyNumberFormat="1" applyFont="1" applyBorder="1" applyAlignment="1">
      <alignment horizontal="center" wrapText="1"/>
    </xf>
    <xf numFmtId="39" fontId="10" fillId="3" borderId="7" xfId="0" applyNumberFormat="1" applyFont="1" applyFill="1" applyBorder="1" applyAlignment="1">
      <alignment horizontal="right" wrapText="1"/>
    </xf>
    <xf numFmtId="39" fontId="10" fillId="0" borderId="8" xfId="0" applyNumberFormat="1" applyFont="1" applyBorder="1" applyAlignment="1">
      <alignment horizontal="center" wrapText="1"/>
    </xf>
    <xf numFmtId="175" fontId="0" fillId="0" borderId="12" xfId="0" applyNumberFormat="1" applyBorder="1" applyAlignment="1">
      <alignment horizontal="center"/>
    </xf>
    <xf numFmtId="167" fontId="16" fillId="0" borderId="12" xfId="1" applyFont="1" applyBorder="1"/>
    <xf numFmtId="167" fontId="21" fillId="0" borderId="12" xfId="1" applyFont="1" applyBorder="1"/>
    <xf numFmtId="0" fontId="0" fillId="0" borderId="12" xfId="0" applyBorder="1" applyAlignment="1">
      <alignment horizontal="center"/>
    </xf>
    <xf numFmtId="9" fontId="0" fillId="0" borderId="12" xfId="0" applyNumberFormat="1" applyBorder="1" applyAlignment="1">
      <alignment horizontal="center"/>
    </xf>
    <xf numFmtId="172" fontId="16" fillId="0" borderId="12" xfId="1" applyNumberFormat="1" applyFont="1" applyBorder="1"/>
    <xf numFmtId="172" fontId="0" fillId="0" borderId="12" xfId="0" applyNumberFormat="1" applyBorder="1"/>
    <xf numFmtId="9" fontId="0" fillId="0" borderId="0" xfId="3" applyFont="1" applyFill="1"/>
    <xf numFmtId="0" fontId="10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172" fontId="2" fillId="5" borderId="0" xfId="1" applyNumberFormat="1" applyFont="1" applyFill="1" applyAlignment="1">
      <alignment horizontal="center"/>
    </xf>
    <xf numFmtId="172" fontId="2" fillId="3" borderId="0" xfId="1" applyNumberFormat="1" applyFont="1" applyFill="1" applyAlignment="1">
      <alignment horizontal="center"/>
    </xf>
    <xf numFmtId="39" fontId="0" fillId="0" borderId="12" xfId="0" applyNumberFormat="1" applyBorder="1" applyAlignment="1">
      <alignment wrapText="1"/>
    </xf>
    <xf numFmtId="39" fontId="0" fillId="0" borderId="12" xfId="0" applyNumberFormat="1" applyBorder="1"/>
    <xf numFmtId="172" fontId="0" fillId="0" borderId="12" xfId="1" applyNumberFormat="1" applyFont="1" applyBorder="1"/>
    <xf numFmtId="167" fontId="16" fillId="0" borderId="12" xfId="1" applyFont="1" applyFill="1" applyBorder="1"/>
    <xf numFmtId="172" fontId="0" fillId="0" borderId="12" xfId="1" applyNumberFormat="1" applyFont="1" applyFill="1" applyBorder="1"/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0" fontId="19" fillId="0" borderId="0" xfId="0" applyFont="1" applyAlignment="1">
      <alignment wrapText="1"/>
    </xf>
    <xf numFmtId="0" fontId="10" fillId="6" borderId="12" xfId="0" applyFont="1" applyFill="1" applyBorder="1" applyAlignment="1">
      <alignment wrapText="1"/>
    </xf>
    <xf numFmtId="0" fontId="10" fillId="3" borderId="0" xfId="0" applyFont="1" applyFill="1" applyAlignment="1">
      <alignment wrapText="1"/>
    </xf>
    <xf numFmtId="0" fontId="0" fillId="0" borderId="18" xfId="0" applyBorder="1"/>
    <xf numFmtId="0" fontId="10" fillId="6" borderId="12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10" fillId="6" borderId="19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173" fontId="0" fillId="0" borderId="20" xfId="0" applyNumberFormat="1" applyBorder="1"/>
    <xf numFmtId="0" fontId="10" fillId="0" borderId="0" xfId="0" applyFont="1" applyAlignment="1">
      <alignment horizontal="center" wrapText="1"/>
    </xf>
    <xf numFmtId="9" fontId="10" fillId="0" borderId="0" xfId="3" applyFont="1" applyBorder="1" applyAlignment="1">
      <alignment horizontal="center"/>
    </xf>
    <xf numFmtId="0" fontId="19" fillId="2" borderId="7" xfId="0" applyFont="1" applyFill="1" applyBorder="1"/>
    <xf numFmtId="39" fontId="25" fillId="0" borderId="12" xfId="0" applyNumberFormat="1" applyFont="1" applyBorder="1" applyAlignment="1">
      <alignment wrapText="1"/>
    </xf>
    <xf numFmtId="0" fontId="10" fillId="6" borderId="14" xfId="0" applyFont="1" applyFill="1" applyBorder="1" applyAlignment="1">
      <alignment horizontal="center" vertical="center" wrapText="1"/>
    </xf>
    <xf numFmtId="172" fontId="2" fillId="5" borderId="0" xfId="1" applyNumberFormat="1" applyFont="1" applyFill="1" applyAlignment="1">
      <alignment horizontal="center" wrapText="1"/>
    </xf>
    <xf numFmtId="167" fontId="0" fillId="0" borderId="0" xfId="1" applyFont="1" applyFill="1"/>
    <xf numFmtId="0" fontId="28" fillId="0" borderId="0" xfId="0" applyFont="1"/>
    <xf numFmtId="167" fontId="0" fillId="0" borderId="0" xfId="1" applyFont="1" applyFill="1" applyAlignment="1">
      <alignment horizontal="left" wrapText="1"/>
    </xf>
    <xf numFmtId="0" fontId="0" fillId="0" borderId="18" xfId="0" applyBorder="1" applyAlignment="1">
      <alignment vertical="top" wrapText="1"/>
    </xf>
    <xf numFmtId="0" fontId="0" fillId="0" borderId="12" xfId="0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167" fontId="0" fillId="0" borderId="0" xfId="1" applyFont="1"/>
    <xf numFmtId="0" fontId="10" fillId="8" borderId="0" xfId="0" applyFont="1" applyFill="1"/>
    <xf numFmtId="0" fontId="0" fillId="8" borderId="0" xfId="0" applyFill="1"/>
    <xf numFmtId="164" fontId="0" fillId="0" borderId="0" xfId="0" applyNumberFormat="1"/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164" fontId="10" fillId="0" borderId="17" xfId="0" applyNumberFormat="1" applyFont="1" applyBorder="1"/>
    <xf numFmtId="0" fontId="15" fillId="0" borderId="0" xfId="0" applyFont="1" applyAlignment="1">
      <alignment wrapText="1"/>
    </xf>
    <xf numFmtId="173" fontId="0" fillId="8" borderId="0" xfId="0" applyNumberFormat="1" applyFill="1"/>
    <xf numFmtId="10" fontId="0" fillId="0" borderId="0" xfId="0" applyNumberFormat="1" applyAlignment="1">
      <alignment horizontal="center" wrapText="1"/>
    </xf>
    <xf numFmtId="0" fontId="26" fillId="4" borderId="0" xfId="4" applyFont="1" applyFill="1" applyAlignment="1">
      <alignment vertical="center"/>
    </xf>
    <xf numFmtId="0" fontId="26" fillId="4" borderId="0" xfId="4" applyFont="1" applyFill="1" applyAlignment="1">
      <alignment vertical="top" wrapText="1"/>
    </xf>
    <xf numFmtId="0" fontId="29" fillId="0" borderId="0" xfId="4"/>
    <xf numFmtId="0" fontId="29" fillId="0" borderId="0" xfId="4" applyAlignment="1">
      <alignment horizontal="left" vertical="top" wrapText="1"/>
    </xf>
    <xf numFmtId="174" fontId="29" fillId="0" borderId="0" xfId="4" applyNumberFormat="1" applyAlignment="1">
      <alignment horizontal="right" vertical="top" wrapText="1"/>
    </xf>
    <xf numFmtId="176" fontId="29" fillId="0" borderId="0" xfId="4" applyNumberFormat="1" applyAlignment="1">
      <alignment horizontal="right" vertical="top" wrapText="1"/>
    </xf>
    <xf numFmtId="0" fontId="29" fillId="0" borderId="9" xfId="4" applyBorder="1" applyAlignment="1">
      <alignment horizontal="left" vertical="top" wrapText="1"/>
    </xf>
    <xf numFmtId="174" fontId="29" fillId="0" borderId="8" xfId="4" applyNumberFormat="1" applyBorder="1" applyAlignment="1">
      <alignment horizontal="left" vertical="top" wrapText="1"/>
    </xf>
    <xf numFmtId="0" fontId="29" fillId="0" borderId="2" xfId="4" applyBorder="1" applyAlignment="1">
      <alignment horizontal="left" vertical="top" wrapText="1"/>
    </xf>
    <xf numFmtId="174" fontId="29" fillId="0" borderId="1" xfId="4" applyNumberFormat="1" applyBorder="1" applyAlignment="1">
      <alignment horizontal="left" vertical="top" wrapText="1"/>
    </xf>
    <xf numFmtId="0" fontId="29" fillId="0" borderId="10" xfId="4" applyBorder="1" applyAlignment="1">
      <alignment horizontal="left" vertical="top" wrapText="1"/>
    </xf>
    <xf numFmtId="174" fontId="29" fillId="0" borderId="11" xfId="4" applyNumberFormat="1" applyBorder="1" applyAlignment="1">
      <alignment horizontal="left"/>
    </xf>
    <xf numFmtId="0" fontId="29" fillId="0" borderId="1" xfId="4" applyBorder="1"/>
    <xf numFmtId="0" fontId="29" fillId="9" borderId="17" xfId="4" applyFill="1" applyBorder="1" applyAlignment="1">
      <alignment horizontal="left" vertical="top" wrapText="1"/>
    </xf>
    <xf numFmtId="174" fontId="29" fillId="9" borderId="23" xfId="4" applyNumberFormat="1" applyFill="1" applyBorder="1" applyAlignment="1">
      <alignment horizontal="left"/>
    </xf>
    <xf numFmtId="177" fontId="29" fillId="0" borderId="0" xfId="4" applyNumberFormat="1" applyAlignment="1">
      <alignment horizontal="left"/>
    </xf>
    <xf numFmtId="174" fontId="29" fillId="0" borderId="0" xfId="4" applyNumberFormat="1"/>
    <xf numFmtId="14" fontId="0" fillId="0" borderId="0" xfId="0" applyNumberFormat="1"/>
    <xf numFmtId="0" fontId="0" fillId="0" borderId="0" xfId="0" applyAlignment="1">
      <alignment vertical="center"/>
    </xf>
    <xf numFmtId="166" fontId="0" fillId="0" borderId="0" xfId="0" applyNumberFormat="1"/>
    <xf numFmtId="0" fontId="22" fillId="5" borderId="0" xfId="0" applyFont="1" applyFill="1" applyAlignment="1">
      <alignment horizontal="center"/>
    </xf>
    <xf numFmtId="172" fontId="3" fillId="5" borderId="0" xfId="1" applyNumberFormat="1" applyFont="1" applyFill="1" applyAlignment="1">
      <alignment horizontal="right"/>
    </xf>
    <xf numFmtId="172" fontId="3" fillId="5" borderId="3" xfId="1" applyNumberFormat="1" applyFont="1" applyFill="1" applyBorder="1"/>
    <xf numFmtId="41" fontId="4" fillId="5" borderId="0" xfId="1" applyNumberFormat="1" applyFont="1" applyFill="1" applyBorder="1" applyAlignment="1">
      <alignment horizontal="right"/>
    </xf>
    <xf numFmtId="172" fontId="2" fillId="3" borderId="0" xfId="1" applyNumberFormat="1" applyFont="1" applyFill="1" applyAlignment="1">
      <alignment horizontal="center" wrapText="1"/>
    </xf>
    <xf numFmtId="0" fontId="22" fillId="3" borderId="0" xfId="0" applyFont="1" applyFill="1" applyAlignment="1">
      <alignment horizontal="center"/>
    </xf>
    <xf numFmtId="172" fontId="2" fillId="3" borderId="4" xfId="1" applyNumberFormat="1" applyFont="1" applyFill="1" applyBorder="1"/>
    <xf numFmtId="172" fontId="3" fillId="3" borderId="0" xfId="1" applyNumberFormat="1" applyFont="1" applyFill="1" applyAlignment="1">
      <alignment horizontal="right"/>
    </xf>
    <xf numFmtId="172" fontId="3" fillId="3" borderId="7" xfId="1" applyNumberFormat="1" applyFont="1" applyFill="1" applyBorder="1"/>
    <xf numFmtId="172" fontId="3" fillId="3" borderId="0" xfId="1" applyNumberFormat="1" applyFont="1" applyFill="1" applyAlignment="1">
      <alignment vertical="top"/>
    </xf>
    <xf numFmtId="172" fontId="2" fillId="3" borderId="4" xfId="1" applyNumberFormat="1" applyFont="1" applyFill="1" applyBorder="1" applyAlignment="1">
      <alignment vertical="top"/>
    </xf>
    <xf numFmtId="172" fontId="3" fillId="3" borderId="0" xfId="1" applyNumberFormat="1" applyFont="1" applyFill="1" applyBorder="1"/>
    <xf numFmtId="172" fontId="3" fillId="3" borderId="3" xfId="1" applyNumberFormat="1" applyFont="1" applyFill="1" applyBorder="1"/>
    <xf numFmtId="172" fontId="2" fillId="3" borderId="3" xfId="1" applyNumberFormat="1" applyFont="1" applyFill="1" applyBorder="1"/>
    <xf numFmtId="172" fontId="2" fillId="3" borderId="0" xfId="1" applyNumberFormat="1" applyFont="1" applyFill="1" applyBorder="1"/>
    <xf numFmtId="41" fontId="4" fillId="3" borderId="0" xfId="1" applyNumberFormat="1" applyFont="1" applyFill="1" applyBorder="1" applyAlignment="1">
      <alignment horizontal="right"/>
    </xf>
    <xf numFmtId="0" fontId="16" fillId="0" borderId="0" xfId="0" applyFont="1"/>
    <xf numFmtId="167" fontId="16" fillId="8" borderId="12" xfId="1" applyFont="1" applyFill="1" applyBorder="1"/>
    <xf numFmtId="167" fontId="0" fillId="0" borderId="12" xfId="1" applyFont="1" applyFill="1" applyBorder="1"/>
    <xf numFmtId="167" fontId="0" fillId="0" borderId="12" xfId="1" applyFont="1" applyBorder="1"/>
    <xf numFmtId="0" fontId="10" fillId="8" borderId="12" xfId="0" applyFont="1" applyFill="1" applyBorder="1"/>
    <xf numFmtId="173" fontId="0" fillId="8" borderId="12" xfId="2" applyNumberFormat="1" applyFont="1" applyFill="1" applyBorder="1"/>
    <xf numFmtId="0" fontId="16" fillId="8" borderId="12" xfId="0" applyFont="1" applyFill="1" applyBorder="1" applyAlignment="1">
      <alignment wrapText="1"/>
    </xf>
    <xf numFmtId="0" fontId="10" fillId="8" borderId="12" xfId="0" applyFont="1" applyFill="1" applyBorder="1" applyAlignment="1">
      <alignment wrapText="1"/>
    </xf>
    <xf numFmtId="0" fontId="16" fillId="8" borderId="12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top"/>
    </xf>
    <xf numFmtId="172" fontId="3" fillId="5" borderId="3" xfId="1" applyNumberFormat="1" applyFont="1" applyFill="1" applyBorder="1" applyAlignment="1">
      <alignment vertical="top"/>
    </xf>
    <xf numFmtId="172" fontId="3" fillId="3" borderId="3" xfId="1" applyNumberFormat="1" applyFont="1" applyFill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0" fillId="0" borderId="0" xfId="0" applyFont="1" applyAlignment="1">
      <alignment horizontal="right"/>
    </xf>
    <xf numFmtId="0" fontId="3" fillId="0" borderId="24" xfId="0" applyFont="1" applyBorder="1" applyAlignment="1">
      <alignment horizontal="left" indent="2"/>
    </xf>
    <xf numFmtId="0" fontId="3" fillId="0" borderId="25" xfId="0" applyFont="1" applyBorder="1" applyAlignment="1">
      <alignment horizontal="left" indent="2"/>
    </xf>
    <xf numFmtId="0" fontId="3" fillId="2" borderId="26" xfId="0" applyFont="1" applyFill="1" applyBorder="1" applyAlignment="1">
      <alignment horizontal="left" indent="2"/>
    </xf>
    <xf numFmtId="0" fontId="2" fillId="2" borderId="7" xfId="0" applyFont="1" applyFill="1" applyBorder="1"/>
    <xf numFmtId="0" fontId="31" fillId="0" borderId="27" xfId="0" applyFont="1" applyBorder="1"/>
    <xf numFmtId="0" fontId="3" fillId="0" borderId="0" xfId="0" applyFont="1" applyAlignment="1">
      <alignment horizontal="left" indent="2"/>
    </xf>
    <xf numFmtId="0" fontId="0" fillId="4" borderId="0" xfId="0" applyFill="1"/>
    <xf numFmtId="0" fontId="3" fillId="4" borderId="0" xfId="0" applyFont="1" applyFill="1"/>
    <xf numFmtId="41" fontId="3" fillId="4" borderId="0" xfId="0" applyNumberFormat="1" applyFont="1" applyFill="1"/>
    <xf numFmtId="3" fontId="2" fillId="4" borderId="4" xfId="0" applyNumberFormat="1" applyFont="1" applyFill="1" applyBorder="1"/>
    <xf numFmtId="0" fontId="7" fillId="4" borderId="0" xfId="0" applyFont="1" applyFill="1"/>
    <xf numFmtId="0" fontId="2" fillId="4" borderId="4" xfId="0" applyFont="1" applyFill="1" applyBorder="1"/>
    <xf numFmtId="0" fontId="2" fillId="4" borderId="7" xfId="0" applyFont="1" applyFill="1" applyBorder="1"/>
    <xf numFmtId="0" fontId="31" fillId="4" borderId="0" xfId="0" applyFont="1" applyFill="1" applyAlignment="1">
      <alignment horizontal="left"/>
    </xf>
    <xf numFmtId="0" fontId="3" fillId="4" borderId="0" xfId="0" applyFont="1" applyFill="1" applyAlignment="1">
      <alignment horizontal="left" indent="2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2" fillId="4" borderId="4" xfId="0" applyFont="1" applyFill="1" applyBorder="1" applyAlignment="1">
      <alignment vertical="top"/>
    </xf>
    <xf numFmtId="171" fontId="3" fillId="4" borderId="0" xfId="0" applyNumberFormat="1" applyFont="1" applyFill="1"/>
    <xf numFmtId="0" fontId="3" fillId="4" borderId="3" xfId="0" applyFont="1" applyFill="1" applyBorder="1" applyAlignment="1">
      <alignment vertical="top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7" xfId="0" applyFont="1" applyFill="1" applyBorder="1"/>
    <xf numFmtId="0" fontId="2" fillId="4" borderId="0" xfId="0" applyFont="1" applyFill="1"/>
    <xf numFmtId="0" fontId="31" fillId="2" borderId="28" xfId="0" applyFont="1" applyFill="1" applyBorder="1" applyAlignment="1">
      <alignment horizontal="left"/>
    </xf>
    <xf numFmtId="0" fontId="3" fillId="0" borderId="29" xfId="0" applyFont="1" applyBorder="1" applyAlignment="1">
      <alignment horizontal="left" indent="2"/>
    </xf>
    <xf numFmtId="0" fontId="3" fillId="2" borderId="30" xfId="0" applyFont="1" applyFill="1" applyBorder="1" applyAlignment="1">
      <alignment horizontal="left" indent="2"/>
    </xf>
    <xf numFmtId="172" fontId="3" fillId="7" borderId="31" xfId="1" applyNumberFormat="1" applyFont="1" applyFill="1" applyBorder="1"/>
    <xf numFmtId="172" fontId="3" fillId="10" borderId="32" xfId="1" applyNumberFormat="1" applyFont="1" applyFill="1" applyBorder="1"/>
    <xf numFmtId="172" fontId="2" fillId="7" borderId="33" xfId="1" applyNumberFormat="1" applyFont="1" applyFill="1" applyBorder="1" applyAlignment="1">
      <alignment horizontal="center" wrapText="1"/>
    </xf>
    <xf numFmtId="172" fontId="2" fillId="10" borderId="34" xfId="1" applyNumberFormat="1" applyFont="1" applyFill="1" applyBorder="1" applyAlignment="1">
      <alignment horizontal="center" vertical="top" wrapText="1"/>
    </xf>
    <xf numFmtId="0" fontId="22" fillId="7" borderId="33" xfId="0" applyFont="1" applyFill="1" applyBorder="1" applyAlignment="1">
      <alignment horizontal="center"/>
    </xf>
    <xf numFmtId="0" fontId="22" fillId="10" borderId="34" xfId="0" applyFont="1" applyFill="1" applyBorder="1" applyAlignment="1">
      <alignment horizontal="center"/>
    </xf>
    <xf numFmtId="172" fontId="2" fillId="7" borderId="33" xfId="1" applyNumberFormat="1" applyFont="1" applyFill="1" applyBorder="1" applyAlignment="1">
      <alignment horizontal="center"/>
    </xf>
    <xf numFmtId="172" fontId="2" fillId="10" borderId="34" xfId="1" applyNumberFormat="1" applyFont="1" applyFill="1" applyBorder="1" applyAlignment="1">
      <alignment horizontal="center"/>
    </xf>
    <xf numFmtId="172" fontId="3" fillId="7" borderId="33" xfId="1" applyNumberFormat="1" applyFont="1" applyFill="1" applyBorder="1"/>
    <xf numFmtId="172" fontId="3" fillId="10" borderId="34" xfId="1" applyNumberFormat="1" applyFont="1" applyFill="1" applyBorder="1"/>
    <xf numFmtId="172" fontId="2" fillId="7" borderId="13" xfId="1" applyNumberFormat="1" applyFont="1" applyFill="1" applyBorder="1"/>
    <xf numFmtId="172" fontId="2" fillId="10" borderId="35" xfId="1" applyNumberFormat="1" applyFont="1" applyFill="1" applyBorder="1"/>
    <xf numFmtId="172" fontId="3" fillId="7" borderId="33" xfId="1" applyNumberFormat="1" applyFont="1" applyFill="1" applyBorder="1" applyAlignment="1">
      <alignment horizontal="right"/>
    </xf>
    <xf numFmtId="172" fontId="3" fillId="10" borderId="34" xfId="1" applyNumberFormat="1" applyFont="1" applyFill="1" applyBorder="1" applyAlignment="1">
      <alignment horizontal="right"/>
    </xf>
    <xf numFmtId="38" fontId="3" fillId="10" borderId="34" xfId="1" applyNumberFormat="1" applyFont="1" applyFill="1" applyBorder="1" applyAlignment="1">
      <alignment horizontal="right"/>
    </xf>
    <xf numFmtId="172" fontId="3" fillId="7" borderId="36" xfId="1" applyNumberFormat="1" applyFont="1" applyFill="1" applyBorder="1"/>
    <xf numFmtId="172" fontId="3" fillId="10" borderId="37" xfId="1" applyNumberFormat="1" applyFont="1" applyFill="1" applyBorder="1"/>
    <xf numFmtId="172" fontId="3" fillId="7" borderId="33" xfId="1" applyNumberFormat="1" applyFont="1" applyFill="1" applyBorder="1" applyAlignment="1">
      <alignment vertical="top"/>
    </xf>
    <xf numFmtId="172" fontId="3" fillId="10" borderId="34" xfId="1" applyNumberFormat="1" applyFont="1" applyFill="1" applyBorder="1" applyAlignment="1">
      <alignment vertical="top"/>
    </xf>
    <xf numFmtId="172" fontId="2" fillId="7" borderId="13" xfId="1" applyNumberFormat="1" applyFont="1" applyFill="1" applyBorder="1" applyAlignment="1">
      <alignment vertical="top"/>
    </xf>
    <xf numFmtId="172" fontId="2" fillId="10" borderId="35" xfId="1" applyNumberFormat="1" applyFont="1" applyFill="1" applyBorder="1" applyAlignment="1">
      <alignment vertical="top"/>
    </xf>
    <xf numFmtId="172" fontId="3" fillId="7" borderId="38" xfId="1" applyNumberFormat="1" applyFont="1" applyFill="1" applyBorder="1" applyAlignment="1">
      <alignment vertical="top"/>
    </xf>
    <xf numFmtId="172" fontId="3" fillId="10" borderId="39" xfId="1" applyNumberFormat="1" applyFont="1" applyFill="1" applyBorder="1" applyAlignment="1">
      <alignment vertical="top"/>
    </xf>
    <xf numFmtId="172" fontId="2" fillId="7" borderId="38" xfId="1" applyNumberFormat="1" applyFont="1" applyFill="1" applyBorder="1"/>
    <xf numFmtId="172" fontId="2" fillId="10" borderId="39" xfId="1" applyNumberFormat="1" applyFont="1" applyFill="1" applyBorder="1"/>
    <xf numFmtId="38" fontId="3" fillId="10" borderId="34" xfId="1" applyNumberFormat="1" applyFont="1" applyFill="1" applyBorder="1"/>
    <xf numFmtId="172" fontId="3" fillId="7" borderId="38" xfId="1" applyNumberFormat="1" applyFont="1" applyFill="1" applyBorder="1"/>
    <xf numFmtId="172" fontId="3" fillId="10" borderId="39" xfId="1" applyNumberFormat="1" applyFont="1" applyFill="1" applyBorder="1"/>
    <xf numFmtId="172" fontId="2" fillId="10" borderId="34" xfId="1" applyNumberFormat="1" applyFont="1" applyFill="1" applyBorder="1"/>
    <xf numFmtId="172" fontId="2" fillId="7" borderId="33" xfId="1" applyNumberFormat="1" applyFont="1" applyFill="1" applyBorder="1"/>
    <xf numFmtId="41" fontId="4" fillId="7" borderId="33" xfId="1" applyNumberFormat="1" applyFont="1" applyFill="1" applyBorder="1" applyAlignment="1">
      <alignment horizontal="right"/>
    </xf>
    <xf numFmtId="41" fontId="2" fillId="10" borderId="34" xfId="1" applyNumberFormat="1" applyFont="1" applyFill="1" applyBorder="1" applyAlignment="1">
      <alignment horizontal="right"/>
    </xf>
    <xf numFmtId="41" fontId="4" fillId="7" borderId="21" xfId="1" applyNumberFormat="1" applyFont="1" applyFill="1" applyBorder="1" applyAlignment="1">
      <alignment horizontal="right"/>
    </xf>
    <xf numFmtId="41" fontId="2" fillId="10" borderId="40" xfId="1" applyNumberFormat="1" applyFont="1" applyFill="1" applyBorder="1" applyAlignment="1">
      <alignment horizontal="right"/>
    </xf>
    <xf numFmtId="172" fontId="3" fillId="0" borderId="0" xfId="1" applyNumberFormat="1" applyFont="1" applyFill="1"/>
    <xf numFmtId="0" fontId="32" fillId="0" borderId="0" xfId="0" applyFont="1"/>
    <xf numFmtId="43" fontId="3" fillId="2" borderId="0" xfId="0" applyNumberFormat="1" applyFont="1" applyFill="1"/>
    <xf numFmtId="43" fontId="0" fillId="0" borderId="0" xfId="0" applyNumberFormat="1"/>
    <xf numFmtId="0" fontId="3" fillId="0" borderId="0" xfId="0" applyFont="1" applyAlignment="1">
      <alignment horizontal="center"/>
    </xf>
    <xf numFmtId="0" fontId="27" fillId="0" borderId="0" xfId="0" applyFont="1"/>
    <xf numFmtId="0" fontId="2" fillId="0" borderId="4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3" fillId="0" borderId="7" xfId="0" applyFont="1" applyBorder="1" applyAlignment="1">
      <alignment horizontal="center"/>
    </xf>
    <xf numFmtId="0" fontId="27" fillId="2" borderId="0" xfId="0" applyFont="1" applyFill="1"/>
    <xf numFmtId="167" fontId="0" fillId="0" borderId="12" xfId="1" applyFont="1" applyFill="1" applyBorder="1" applyAlignment="1"/>
    <xf numFmtId="167" fontId="0" fillId="0" borderId="12" xfId="1" applyFont="1" applyBorder="1" applyAlignment="1">
      <alignment wrapText="1"/>
    </xf>
    <xf numFmtId="167" fontId="8" fillId="0" borderId="12" xfId="1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173" fontId="0" fillId="8" borderId="0" xfId="2" applyNumberFormat="1" applyFont="1" applyFill="1"/>
    <xf numFmtId="167" fontId="0" fillId="0" borderId="12" xfId="1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165" fontId="33" fillId="0" borderId="0" xfId="0" applyNumberFormat="1" applyFont="1" applyAlignment="1">
      <alignment vertical="center" wrapText="1"/>
    </xf>
    <xf numFmtId="167" fontId="0" fillId="8" borderId="0" xfId="1" applyFont="1" applyFill="1"/>
    <xf numFmtId="173" fontId="8" fillId="0" borderId="12" xfId="2" applyNumberFormat="1" applyFont="1" applyFill="1" applyBorder="1" applyAlignment="1"/>
    <xf numFmtId="0" fontId="3" fillId="0" borderId="0" xfId="0" applyFont="1" applyAlignment="1">
      <alignment horizontal="center" vertical="top"/>
    </xf>
    <xf numFmtId="170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172" fontId="3" fillId="0" borderId="42" xfId="1" applyNumberFormat="1" applyFont="1" applyFill="1" applyBorder="1"/>
    <xf numFmtId="172" fontId="2" fillId="0" borderId="43" xfId="1" applyNumberFormat="1" applyFont="1" applyFill="1" applyBorder="1" applyAlignment="1">
      <alignment horizontal="center" wrapText="1"/>
    </xf>
    <xf numFmtId="172" fontId="2" fillId="0" borderId="43" xfId="1" applyNumberFormat="1" applyFont="1" applyFill="1" applyBorder="1" applyAlignment="1">
      <alignment horizontal="center"/>
    </xf>
    <xf numFmtId="172" fontId="3" fillId="0" borderId="43" xfId="1" applyNumberFormat="1" applyFont="1" applyFill="1" applyBorder="1"/>
    <xf numFmtId="172" fontId="2" fillId="0" borderId="41" xfId="1" applyNumberFormat="1" applyFont="1" applyFill="1" applyBorder="1"/>
    <xf numFmtId="172" fontId="3" fillId="0" borderId="43" xfId="1" applyNumberFormat="1" applyFont="1" applyFill="1" applyBorder="1" applyAlignment="1">
      <alignment horizontal="right"/>
    </xf>
    <xf numFmtId="172" fontId="3" fillId="0" borderId="43" xfId="1" applyNumberFormat="1" applyFont="1" applyFill="1" applyBorder="1" applyAlignment="1">
      <alignment vertical="top"/>
    </xf>
    <xf numFmtId="172" fontId="2" fillId="0" borderId="41" xfId="1" applyNumberFormat="1" applyFont="1" applyFill="1" applyBorder="1" applyAlignment="1">
      <alignment vertical="top"/>
    </xf>
    <xf numFmtId="172" fontId="3" fillId="0" borderId="44" xfId="1" applyNumberFormat="1" applyFont="1" applyFill="1" applyBorder="1" applyAlignment="1">
      <alignment vertical="top"/>
    </xf>
    <xf numFmtId="172" fontId="2" fillId="0" borderId="44" xfId="1" applyNumberFormat="1" applyFont="1" applyFill="1" applyBorder="1"/>
    <xf numFmtId="172" fontId="3" fillId="0" borderId="44" xfId="1" applyNumberFormat="1" applyFont="1" applyFill="1" applyBorder="1"/>
    <xf numFmtId="172" fontId="2" fillId="0" borderId="43" xfId="1" applyNumberFormat="1" applyFont="1" applyFill="1" applyBorder="1"/>
    <xf numFmtId="41" fontId="4" fillId="0" borderId="43" xfId="1" applyNumberFormat="1" applyFont="1" applyFill="1" applyBorder="1" applyAlignment="1">
      <alignment horizontal="right"/>
    </xf>
    <xf numFmtId="41" fontId="4" fillId="0" borderId="44" xfId="1" applyNumberFormat="1" applyFont="1" applyFill="1" applyBorder="1" applyAlignment="1">
      <alignment horizontal="right"/>
    </xf>
    <xf numFmtId="0" fontId="25" fillId="0" borderId="0" xfId="0" applyFont="1"/>
    <xf numFmtId="0" fontId="10" fillId="3" borderId="0" xfId="0" applyFont="1" applyFill="1" applyAlignment="1">
      <alignment horizontal="left"/>
    </xf>
    <xf numFmtId="0" fontId="2" fillId="0" borderId="43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73" fontId="0" fillId="11" borderId="12" xfId="2" applyNumberFormat="1" applyFont="1" applyFill="1" applyBorder="1"/>
    <xf numFmtId="173" fontId="8" fillId="11" borderId="12" xfId="2" applyNumberFormat="1" applyFont="1" applyFill="1" applyBorder="1" applyAlignment="1">
      <alignment horizontal="center"/>
    </xf>
    <xf numFmtId="173" fontId="0" fillId="11" borderId="12" xfId="2" applyNumberFormat="1" applyFont="1" applyFill="1" applyBorder="1" applyAlignment="1"/>
    <xf numFmtId="0" fontId="18" fillId="0" borderId="12" xfId="0" applyFont="1" applyBorder="1" applyAlignment="1">
      <alignment wrapText="1"/>
    </xf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wrapText="1"/>
    </xf>
    <xf numFmtId="167" fontId="16" fillId="0" borderId="12" xfId="1" applyFont="1" applyFill="1" applyBorder="1" applyAlignment="1">
      <alignment wrapText="1"/>
    </xf>
    <xf numFmtId="173" fontId="16" fillId="0" borderId="12" xfId="2" applyNumberFormat="1" applyFont="1" applyFill="1" applyBorder="1"/>
    <xf numFmtId="0" fontId="25" fillId="8" borderId="0" xfId="0" applyFont="1" applyFill="1"/>
    <xf numFmtId="167" fontId="8" fillId="0" borderId="12" xfId="1" applyFont="1" applyFill="1" applyBorder="1" applyAlignment="1">
      <alignment wrapText="1"/>
    </xf>
    <xf numFmtId="174" fontId="29" fillId="0" borderId="0" xfId="4" applyNumberFormat="1" applyAlignment="1">
      <alignment horizontal="left" vertical="top" wrapText="1"/>
    </xf>
    <xf numFmtId="177" fontId="25" fillId="0" borderId="0" xfId="4" applyNumberFormat="1" applyFont="1" applyAlignment="1">
      <alignment horizontal="left"/>
    </xf>
    <xf numFmtId="0" fontId="25" fillId="0" borderId="0" xfId="4" applyFont="1" applyAlignment="1">
      <alignment horizontal="left" vertical="top" wrapText="1"/>
    </xf>
    <xf numFmtId="174" fontId="25" fillId="0" borderId="0" xfId="4" applyNumberFormat="1" applyFont="1" applyAlignment="1">
      <alignment horizontal="right" vertical="top" wrapText="1"/>
    </xf>
    <xf numFmtId="176" fontId="25" fillId="0" borderId="0" xfId="4" applyNumberFormat="1" applyFont="1" applyAlignment="1">
      <alignment horizontal="right" vertical="top" wrapText="1"/>
    </xf>
    <xf numFmtId="0" fontId="25" fillId="0" borderId="0" xfId="4" applyFont="1"/>
    <xf numFmtId="173" fontId="0" fillId="8" borderId="17" xfId="0" applyNumberFormat="1" applyFill="1" applyBorder="1" applyAlignment="1">
      <alignment horizontal="center"/>
    </xf>
    <xf numFmtId="0" fontId="11" fillId="12" borderId="0" xfId="0" applyFont="1" applyFill="1"/>
    <xf numFmtId="0" fontId="0" fillId="12" borderId="0" xfId="0" applyFill="1"/>
    <xf numFmtId="173" fontId="0" fillId="12" borderId="0" xfId="2" applyNumberFormat="1" applyFont="1" applyFill="1"/>
    <xf numFmtId="0" fontId="0" fillId="2" borderId="12" xfId="0" applyFill="1" applyBorder="1" applyAlignment="1">
      <alignment wrapText="1"/>
    </xf>
    <xf numFmtId="167" fontId="11" fillId="0" borderId="0" xfId="1" applyFont="1"/>
    <xf numFmtId="167" fontId="16" fillId="0" borderId="0" xfId="1" applyFont="1"/>
    <xf numFmtId="167" fontId="10" fillId="0" borderId="0" xfId="1" applyFont="1" applyAlignment="1">
      <alignment vertical="center"/>
    </xf>
    <xf numFmtId="0" fontId="25" fillId="0" borderId="0" xfId="0" applyFont="1" applyAlignment="1">
      <alignment wrapText="1"/>
    </xf>
    <xf numFmtId="172" fontId="3" fillId="13" borderId="0" xfId="1" applyNumberFormat="1" applyFont="1" applyFill="1"/>
    <xf numFmtId="0" fontId="22" fillId="0" borderId="43" xfId="0" applyFont="1" applyBorder="1" applyAlignment="1">
      <alignment horizontal="center"/>
    </xf>
    <xf numFmtId="38" fontId="2" fillId="10" borderId="34" xfId="1" applyNumberFormat="1" applyFont="1" applyFill="1" applyBorder="1" applyAlignment="1">
      <alignment horizontal="right"/>
    </xf>
    <xf numFmtId="172" fontId="3" fillId="13" borderId="9" xfId="1" applyNumberFormat="1" applyFont="1" applyFill="1" applyBorder="1"/>
    <xf numFmtId="172" fontId="2" fillId="13" borderId="2" xfId="1" applyNumberFormat="1" applyFont="1" applyFill="1" applyBorder="1" applyAlignment="1">
      <alignment horizontal="center" wrapText="1"/>
    </xf>
    <xf numFmtId="0" fontId="22" fillId="13" borderId="2" xfId="0" applyFont="1" applyFill="1" applyBorder="1" applyAlignment="1">
      <alignment horizontal="center"/>
    </xf>
    <xf numFmtId="172" fontId="2" fillId="13" borderId="0" xfId="1" applyNumberFormat="1" applyFont="1" applyFill="1" applyBorder="1" applyAlignment="1">
      <alignment horizontal="center"/>
    </xf>
    <xf numFmtId="172" fontId="2" fillId="13" borderId="2" xfId="1" applyNumberFormat="1" applyFont="1" applyFill="1" applyBorder="1" applyAlignment="1">
      <alignment horizontal="center"/>
    </xf>
    <xf numFmtId="172" fontId="3" fillId="13" borderId="2" xfId="1" applyNumberFormat="1" applyFont="1" applyFill="1" applyBorder="1"/>
    <xf numFmtId="172" fontId="2" fillId="13" borderId="6" xfId="1" applyNumberFormat="1" applyFont="1" applyFill="1" applyBorder="1"/>
    <xf numFmtId="172" fontId="3" fillId="13" borderId="2" xfId="1" applyNumberFormat="1" applyFont="1" applyFill="1" applyBorder="1" applyAlignment="1">
      <alignment horizontal="right"/>
    </xf>
    <xf numFmtId="38" fontId="3" fillId="13" borderId="0" xfId="1" applyNumberFormat="1" applyFont="1" applyFill="1" applyBorder="1" applyAlignment="1">
      <alignment horizontal="right"/>
    </xf>
    <xf numFmtId="172" fontId="3" fillId="13" borderId="2" xfId="1" applyNumberFormat="1" applyFont="1" applyFill="1" applyBorder="1" applyAlignment="1">
      <alignment vertical="top"/>
    </xf>
    <xf numFmtId="172" fontId="2" fillId="13" borderId="6" xfId="1" applyNumberFormat="1" applyFont="1" applyFill="1" applyBorder="1" applyAlignment="1">
      <alignment vertical="top"/>
    </xf>
    <xf numFmtId="172" fontId="3" fillId="13" borderId="10" xfId="1" applyNumberFormat="1" applyFont="1" applyFill="1" applyBorder="1" applyAlignment="1">
      <alignment vertical="top"/>
    </xf>
    <xf numFmtId="172" fontId="2" fillId="13" borderId="10" xfId="1" applyNumberFormat="1" applyFont="1" applyFill="1" applyBorder="1"/>
    <xf numFmtId="172" fontId="3" fillId="13" borderId="10" xfId="1" applyNumberFormat="1" applyFont="1" applyFill="1" applyBorder="1"/>
    <xf numFmtId="172" fontId="2" fillId="13" borderId="2" xfId="1" applyNumberFormat="1" applyFont="1" applyFill="1" applyBorder="1"/>
    <xf numFmtId="41" fontId="2" fillId="13" borderId="2" xfId="1" applyNumberFormat="1" applyFont="1" applyFill="1" applyBorder="1" applyAlignment="1">
      <alignment horizontal="right"/>
    </xf>
    <xf numFmtId="41" fontId="2" fillId="13" borderId="10" xfId="1" applyNumberFormat="1" applyFont="1" applyFill="1" applyBorder="1" applyAlignment="1">
      <alignment horizontal="right"/>
    </xf>
    <xf numFmtId="172" fontId="3" fillId="12" borderId="45" xfId="1" applyNumberFormat="1" applyFont="1" applyFill="1" applyBorder="1"/>
    <xf numFmtId="172" fontId="4" fillId="12" borderId="46" xfId="1" applyNumberFormat="1" applyFont="1" applyFill="1" applyBorder="1" applyAlignment="1">
      <alignment horizontal="center" wrapText="1"/>
    </xf>
    <xf numFmtId="0" fontId="22" fillId="12" borderId="46" xfId="0" applyFont="1" applyFill="1" applyBorder="1" applyAlignment="1">
      <alignment horizontal="center"/>
    </xf>
    <xf numFmtId="172" fontId="2" fillId="12" borderId="46" xfId="1" applyNumberFormat="1" applyFont="1" applyFill="1" applyBorder="1" applyAlignment="1">
      <alignment horizontal="center"/>
    </xf>
    <xf numFmtId="0" fontId="2" fillId="12" borderId="46" xfId="1" applyNumberFormat="1" applyFont="1" applyFill="1" applyBorder="1" applyAlignment="1">
      <alignment horizontal="center" wrapText="1"/>
    </xf>
    <xf numFmtId="172" fontId="4" fillId="12" borderId="46" xfId="1" applyNumberFormat="1" applyFont="1" applyFill="1" applyBorder="1" applyAlignment="1">
      <alignment horizontal="center"/>
    </xf>
    <xf numFmtId="172" fontId="3" fillId="12" borderId="46" xfId="1" applyNumberFormat="1" applyFont="1" applyFill="1" applyBorder="1"/>
    <xf numFmtId="172" fontId="2" fillId="12" borderId="47" xfId="1" applyNumberFormat="1" applyFont="1" applyFill="1" applyBorder="1"/>
    <xf numFmtId="172" fontId="3" fillId="12" borderId="46" xfId="1" applyNumberFormat="1" applyFont="1" applyFill="1" applyBorder="1" applyAlignment="1">
      <alignment horizontal="right"/>
    </xf>
    <xf numFmtId="172" fontId="3" fillId="12" borderId="48" xfId="1" applyNumberFormat="1" applyFont="1" applyFill="1" applyBorder="1"/>
    <xf numFmtId="172" fontId="3" fillId="12" borderId="46" xfId="1" applyNumberFormat="1" applyFont="1" applyFill="1" applyBorder="1" applyAlignment="1">
      <alignment vertical="top"/>
    </xf>
    <xf numFmtId="172" fontId="2" fillId="12" borderId="47" xfId="1" applyNumberFormat="1" applyFont="1" applyFill="1" applyBorder="1" applyAlignment="1">
      <alignment vertical="top"/>
    </xf>
    <xf numFmtId="172" fontId="3" fillId="12" borderId="49" xfId="1" applyNumberFormat="1" applyFont="1" applyFill="1" applyBorder="1" applyAlignment="1">
      <alignment vertical="top"/>
    </xf>
    <xf numFmtId="172" fontId="2" fillId="12" borderId="49" xfId="1" applyNumberFormat="1" applyFont="1" applyFill="1" applyBorder="1"/>
    <xf numFmtId="172" fontId="3" fillId="12" borderId="49" xfId="1" applyNumberFormat="1" applyFont="1" applyFill="1" applyBorder="1"/>
    <xf numFmtId="172" fontId="2" fillId="12" borderId="46" xfId="1" applyNumberFormat="1" applyFont="1" applyFill="1" applyBorder="1"/>
    <xf numFmtId="41" fontId="2" fillId="12" borderId="46" xfId="1" applyNumberFormat="1" applyFont="1" applyFill="1" applyBorder="1" applyAlignment="1">
      <alignment horizontal="right"/>
    </xf>
    <xf numFmtId="41" fontId="2" fillId="12" borderId="50" xfId="1" applyNumberFormat="1" applyFont="1" applyFill="1" applyBorder="1" applyAlignment="1">
      <alignment horizontal="right"/>
    </xf>
    <xf numFmtId="0" fontId="10" fillId="5" borderId="0" xfId="0" applyFont="1" applyFill="1" applyAlignment="1">
      <alignment horizontal="left"/>
    </xf>
    <xf numFmtId="0" fontId="10" fillId="6" borderId="14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0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164" fontId="15" fillId="0" borderId="0" xfId="0" applyNumberFormat="1" applyFont="1" applyAlignment="1">
      <alignment vertical="center" wrapText="1"/>
    </xf>
    <xf numFmtId="0" fontId="10" fillId="3" borderId="0" xfId="0" applyFont="1" applyFill="1"/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7" fillId="0" borderId="6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9" fontId="10" fillId="0" borderId="14" xfId="0" applyNumberFormat="1" applyFont="1" applyBorder="1" applyAlignment="1">
      <alignment horizontal="center" wrapText="1"/>
    </xf>
    <xf numFmtId="39" fontId="10" fillId="0" borderId="16" xfId="0" applyNumberFormat="1" applyFont="1" applyBorder="1" applyAlignment="1">
      <alignment horizontal="center" wrapText="1"/>
    </xf>
    <xf numFmtId="39" fontId="10" fillId="0" borderId="15" xfId="0" applyNumberFormat="1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39" fontId="10" fillId="0" borderId="14" xfId="0" applyNumberFormat="1" applyFont="1" applyBorder="1" applyAlignment="1">
      <alignment horizontal="center"/>
    </xf>
    <xf numFmtId="39" fontId="10" fillId="0" borderId="16" xfId="0" applyNumberFormat="1" applyFont="1" applyBorder="1" applyAlignment="1">
      <alignment horizontal="center"/>
    </xf>
    <xf numFmtId="39" fontId="10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4" xr:uid="{31EACED2-ACF1-420F-8025-F440B5F60D24}"/>
    <cellStyle name="Percent" xfId="3" builtinId="5"/>
  </cellStyles>
  <dxfs count="0"/>
  <tableStyles count="0" defaultTableStyle="TableStyleMedium2" defaultPivotStyle="PivotStyleLight16"/>
  <colors>
    <mruColors>
      <color rgb="FFCCCCFF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35</xdr:row>
      <xdr:rowOff>0</xdr:rowOff>
    </xdr:from>
    <xdr:to>
      <xdr:col>6</xdr:col>
      <xdr:colOff>1488072</xdr:colOff>
      <xdr:row>53</xdr:row>
      <xdr:rowOff>144637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F4B3F-B0E0-4261-AB84-31B4DFCA1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6400800"/>
          <a:ext cx="11379785" cy="34037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5</xdr:col>
      <xdr:colOff>3440523</xdr:colOff>
      <xdr:row>100</xdr:row>
      <xdr:rowOff>57413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C01978-6669-42F9-BCB8-B65FA102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0" y="13296900"/>
          <a:ext cx="7988711" cy="5124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2807-5658-4EA1-8B2C-4DF1EC9DDA83}">
  <sheetPr>
    <pageSetUpPr fitToPage="1"/>
  </sheetPr>
  <dimension ref="A1:M115"/>
  <sheetViews>
    <sheetView showGridLines="0" tabSelected="1" zoomScale="200" zoomScaleNormal="200" workbookViewId="0">
      <pane xSplit="5" topLeftCell="K1" activePane="topRight" state="frozen"/>
      <selection activeCell="A3" sqref="A3"/>
      <selection pane="topRight" activeCell="N4" sqref="N4"/>
    </sheetView>
  </sheetViews>
  <sheetFormatPr defaultColWidth="26.73046875" defaultRowHeight="14.25" x14ac:dyDescent="0.45"/>
  <cols>
    <col min="1" max="1" width="7" customWidth="1"/>
    <col min="2" max="2" width="5.265625" bestFit="1" customWidth="1"/>
    <col min="3" max="3" width="2.73046875" style="222" customWidth="1"/>
    <col min="4" max="4" width="22.1328125" customWidth="1"/>
    <col min="5" max="5" width="28" customWidth="1"/>
    <col min="6" max="7" width="20.1328125" style="294" customWidth="1"/>
    <col min="8" max="8" width="1.73046875" customWidth="1"/>
    <col min="9" max="9" width="17.265625" style="294" customWidth="1"/>
    <col min="10" max="10" width="13.265625" style="294" customWidth="1"/>
    <col min="11" max="11" width="18.86328125" style="294" bestFit="1" customWidth="1"/>
    <col min="12" max="12" width="18.86328125" style="294" customWidth="1"/>
    <col min="13" max="13" width="21.3984375" style="294" bestFit="1" customWidth="1"/>
  </cols>
  <sheetData>
    <row r="1" spans="1:13" ht="14.65" thickTop="1" x14ac:dyDescent="0.45">
      <c r="C1" s="33"/>
      <c r="D1" s="11"/>
      <c r="E1" s="11"/>
      <c r="F1" s="260"/>
      <c r="G1" s="261"/>
      <c r="H1" s="237"/>
      <c r="I1" s="34"/>
      <c r="J1" s="20"/>
      <c r="K1" s="319"/>
      <c r="L1" s="370"/>
      <c r="M1" s="387"/>
    </row>
    <row r="2" spans="1:13" ht="41.65" x14ac:dyDescent="0.45">
      <c r="A2" s="1"/>
      <c r="B2" s="14"/>
      <c r="C2" s="33"/>
      <c r="D2" s="1"/>
      <c r="E2" s="1"/>
      <c r="F2" s="262" t="s">
        <v>0</v>
      </c>
      <c r="G2" s="263" t="s">
        <v>619</v>
      </c>
      <c r="H2" s="238"/>
      <c r="I2" s="156" t="s">
        <v>0</v>
      </c>
      <c r="J2" s="200" t="s">
        <v>0</v>
      </c>
      <c r="K2" s="320"/>
      <c r="L2" s="371" t="s">
        <v>620</v>
      </c>
      <c r="M2" s="388" t="s">
        <v>626</v>
      </c>
    </row>
    <row r="3" spans="1:13" x14ac:dyDescent="0.45">
      <c r="A3" s="1"/>
      <c r="B3" s="14"/>
      <c r="C3" s="33"/>
      <c r="D3" s="1"/>
      <c r="E3" s="1"/>
      <c r="F3" s="264"/>
      <c r="G3" s="265"/>
      <c r="H3" s="238"/>
      <c r="I3" s="196"/>
      <c r="J3" s="201"/>
      <c r="K3" s="368"/>
      <c r="L3" s="372"/>
      <c r="M3" s="389"/>
    </row>
    <row r="4" spans="1:13" ht="18" customHeight="1" x14ac:dyDescent="0.6">
      <c r="A4" s="15" t="s">
        <v>1</v>
      </c>
      <c r="B4" s="14"/>
      <c r="C4" s="33"/>
      <c r="D4" s="1"/>
      <c r="E4" s="1"/>
      <c r="F4" s="266" t="s">
        <v>2</v>
      </c>
      <c r="G4" s="267" t="s">
        <v>3</v>
      </c>
      <c r="H4" s="238"/>
      <c r="I4" s="130" t="s">
        <v>2</v>
      </c>
      <c r="J4" s="131" t="s">
        <v>2</v>
      </c>
      <c r="K4" s="321" t="s">
        <v>2</v>
      </c>
      <c r="L4" s="373" t="s">
        <v>3</v>
      </c>
      <c r="M4" s="390" t="s">
        <v>2</v>
      </c>
    </row>
    <row r="5" spans="1:13" ht="20.65" x14ac:dyDescent="0.6">
      <c r="A5" s="15" t="s">
        <v>4</v>
      </c>
      <c r="B5" s="298"/>
      <c r="C5" s="33"/>
      <c r="D5" s="1"/>
      <c r="E5" s="1"/>
      <c r="F5" s="266" t="s">
        <v>2</v>
      </c>
      <c r="G5" s="267" t="s">
        <v>5</v>
      </c>
      <c r="H5" s="238"/>
      <c r="I5" s="130" t="s">
        <v>6</v>
      </c>
      <c r="J5" s="131" t="s">
        <v>6</v>
      </c>
      <c r="K5" s="321" t="s">
        <v>6</v>
      </c>
      <c r="L5" s="373" t="s">
        <v>5</v>
      </c>
      <c r="M5" s="390" t="s">
        <v>6</v>
      </c>
    </row>
    <row r="6" spans="1:13" ht="25.35" customHeight="1" x14ac:dyDescent="0.45">
      <c r="A6" s="12"/>
      <c r="B6" s="298"/>
      <c r="C6" s="33"/>
      <c r="D6" s="1"/>
      <c r="E6" s="1"/>
      <c r="F6" s="266" t="s">
        <v>7</v>
      </c>
      <c r="G6" s="267" t="s">
        <v>7</v>
      </c>
      <c r="H6" s="238"/>
      <c r="I6" s="130" t="s">
        <v>8</v>
      </c>
      <c r="J6" s="131" t="s">
        <v>9</v>
      </c>
      <c r="K6" s="335" t="s">
        <v>10</v>
      </c>
      <c r="L6" s="373" t="s">
        <v>621</v>
      </c>
      <c r="M6" s="391" t="s">
        <v>10</v>
      </c>
    </row>
    <row r="7" spans="1:13" x14ac:dyDescent="0.45">
      <c r="A7" s="12"/>
      <c r="B7" s="298"/>
      <c r="C7" s="33"/>
      <c r="D7" s="35"/>
      <c r="E7" s="9"/>
      <c r="F7" s="266"/>
      <c r="G7" s="267"/>
      <c r="H7" s="239"/>
      <c r="I7" s="130"/>
      <c r="J7" s="131"/>
      <c r="K7" s="321" t="s">
        <v>11</v>
      </c>
      <c r="L7" s="374" t="s">
        <v>622</v>
      </c>
      <c r="M7" s="392"/>
    </row>
    <row r="8" spans="1:13" x14ac:dyDescent="0.45">
      <c r="A8" s="36" t="s">
        <v>12</v>
      </c>
      <c r="B8" s="336"/>
      <c r="C8" s="37"/>
      <c r="D8" s="38"/>
      <c r="E8" s="296"/>
      <c r="F8" s="268"/>
      <c r="G8" s="269"/>
      <c r="H8" s="238"/>
      <c r="I8" s="34"/>
      <c r="J8" s="20"/>
      <c r="K8" s="322"/>
      <c r="L8" s="375"/>
      <c r="M8" s="392"/>
    </row>
    <row r="9" spans="1:13" ht="14.65" thickBot="1" x14ac:dyDescent="0.5">
      <c r="A9" s="12"/>
      <c r="B9" s="298"/>
      <c r="C9" s="33"/>
      <c r="D9" s="1"/>
      <c r="E9" s="1"/>
      <c r="F9" s="268"/>
      <c r="G9" s="269"/>
      <c r="H9" s="238"/>
      <c r="I9" s="34"/>
      <c r="J9" s="20"/>
      <c r="K9" s="322"/>
      <c r="L9" s="375"/>
      <c r="M9" s="393"/>
    </row>
    <row r="10" spans="1:13" ht="14.65" thickBot="1" x14ac:dyDescent="0.5">
      <c r="A10" s="4">
        <v>1</v>
      </c>
      <c r="B10" s="300"/>
      <c r="C10" s="39"/>
      <c r="D10" s="5" t="s">
        <v>13</v>
      </c>
      <c r="E10" s="5" t="s">
        <v>14</v>
      </c>
      <c r="F10" s="270">
        <v>12470000</v>
      </c>
      <c r="G10" s="271">
        <v>12083911.43</v>
      </c>
      <c r="H10" s="240"/>
      <c r="I10" s="40">
        <f>SUM(I11:I14)</f>
        <v>12646000</v>
      </c>
      <c r="J10" s="202">
        <f>SUM(J11:J14)</f>
        <v>12566000</v>
      </c>
      <c r="K10" s="323">
        <f>SUM(K11:K14)</f>
        <v>12592666.666666666</v>
      </c>
      <c r="L10" s="376">
        <v>12374058</v>
      </c>
      <c r="M10" s="394">
        <f>SUM(M11:M15)</f>
        <v>17001400</v>
      </c>
    </row>
    <row r="11" spans="1:13" x14ac:dyDescent="0.45">
      <c r="A11" s="12"/>
      <c r="B11" s="298">
        <v>1.1000000000000001</v>
      </c>
      <c r="C11" s="33"/>
      <c r="D11" s="1" t="s">
        <v>15</v>
      </c>
      <c r="E11" s="1" t="s">
        <v>16</v>
      </c>
      <c r="F11" s="268">
        <v>11920000</v>
      </c>
      <c r="G11" s="269">
        <v>11776209.33</v>
      </c>
      <c r="H11" s="238"/>
      <c r="I11" s="34">
        <v>12096000</v>
      </c>
      <c r="J11" s="20">
        <v>12096000</v>
      </c>
      <c r="K11" s="322">
        <f>(I11/12*4)+(J11/12*8)</f>
        <v>12096000</v>
      </c>
      <c r="L11" s="375">
        <v>12598553.800000001</v>
      </c>
      <c r="M11" s="393">
        <v>16601400</v>
      </c>
    </row>
    <row r="12" spans="1:13" x14ac:dyDescent="0.45">
      <c r="A12" s="12"/>
      <c r="B12" s="298">
        <v>1.2</v>
      </c>
      <c r="C12" s="33"/>
      <c r="D12" s="14" t="s">
        <v>17</v>
      </c>
      <c r="E12" s="295" t="s">
        <v>18</v>
      </c>
      <c r="F12" s="272">
        <v>0</v>
      </c>
      <c r="G12" s="273">
        <v>778555.01</v>
      </c>
      <c r="H12" s="238"/>
      <c r="I12" s="197">
        <v>0</v>
      </c>
      <c r="J12" s="203">
        <v>0</v>
      </c>
      <c r="K12" s="324">
        <f t="shared" ref="K12:K14" si="0">(I12/12*4)+(J12/12*8)</f>
        <v>0</v>
      </c>
      <c r="L12" s="377">
        <v>760456.2</v>
      </c>
      <c r="M12" s="395">
        <v>0</v>
      </c>
    </row>
    <row r="13" spans="1:13" x14ac:dyDescent="0.45">
      <c r="A13" s="12"/>
      <c r="B13" s="298">
        <v>1.3</v>
      </c>
      <c r="C13" s="33"/>
      <c r="D13" s="1" t="s">
        <v>19</v>
      </c>
      <c r="E13" s="1" t="s">
        <v>20</v>
      </c>
      <c r="F13" s="272">
        <v>550000</v>
      </c>
      <c r="G13" s="274">
        <v>-482499.71</v>
      </c>
      <c r="H13" s="238"/>
      <c r="I13" s="197">
        <v>550000</v>
      </c>
      <c r="J13" s="203">
        <v>470000</v>
      </c>
      <c r="K13" s="324">
        <f t="shared" si="0"/>
        <v>496666.66666666663</v>
      </c>
      <c r="L13" s="378">
        <v>-993281.8</v>
      </c>
      <c r="M13" s="395">
        <v>0</v>
      </c>
    </row>
    <row r="14" spans="1:13" x14ac:dyDescent="0.45">
      <c r="A14" s="12"/>
      <c r="B14" s="298">
        <v>1.4</v>
      </c>
      <c r="C14" s="33"/>
      <c r="D14" s="1" t="s">
        <v>21</v>
      </c>
      <c r="E14" s="41" t="s">
        <v>22</v>
      </c>
      <c r="F14" s="272">
        <v>0</v>
      </c>
      <c r="G14" s="273">
        <v>12054.8</v>
      </c>
      <c r="H14" s="241"/>
      <c r="I14" s="197">
        <v>0</v>
      </c>
      <c r="J14" s="203">
        <v>0</v>
      </c>
      <c r="K14" s="324">
        <f t="shared" si="0"/>
        <v>0</v>
      </c>
      <c r="L14" s="377">
        <f>8812-482.1-7101.16</f>
        <v>1228.7399999999998</v>
      </c>
      <c r="M14" s="395">
        <v>0</v>
      </c>
    </row>
    <row r="15" spans="1:13" ht="14.65" thickBot="1" x14ac:dyDescent="0.5">
      <c r="A15" s="12"/>
      <c r="B15" s="298">
        <v>1.5</v>
      </c>
      <c r="C15" s="33"/>
      <c r="D15" s="1" t="s">
        <v>23</v>
      </c>
      <c r="E15" s="41"/>
      <c r="F15" s="272"/>
      <c r="G15" s="273"/>
      <c r="H15" s="241"/>
      <c r="I15" s="197"/>
      <c r="J15" s="203"/>
      <c r="K15" s="324"/>
      <c r="L15" s="377"/>
      <c r="M15" s="395">
        <v>400000</v>
      </c>
    </row>
    <row r="16" spans="1:13" ht="14.65" thickBot="1" x14ac:dyDescent="0.5">
      <c r="A16" s="4">
        <v>2</v>
      </c>
      <c r="B16" s="300"/>
      <c r="C16" s="39"/>
      <c r="D16" s="7" t="s">
        <v>24</v>
      </c>
      <c r="E16" s="7" t="s">
        <v>25</v>
      </c>
      <c r="F16" s="270">
        <v>7150000</v>
      </c>
      <c r="G16" s="271">
        <v>5977417.8600000003</v>
      </c>
      <c r="H16" s="242"/>
      <c r="I16" s="40">
        <f t="shared" ref="I16:K16" si="1">SUM(I17:I22)</f>
        <v>8450000</v>
      </c>
      <c r="J16" s="202">
        <f t="shared" si="1"/>
        <v>8950000</v>
      </c>
      <c r="K16" s="323">
        <f t="shared" si="1"/>
        <v>8783333.3333333321</v>
      </c>
      <c r="L16" s="376">
        <v>6969906.7400000002</v>
      </c>
      <c r="M16" s="394">
        <f>SUM(M17:M22)</f>
        <v>10250000</v>
      </c>
    </row>
    <row r="17" spans="1:13" x14ac:dyDescent="0.45">
      <c r="A17" s="12"/>
      <c r="B17" s="298">
        <v>2.1</v>
      </c>
      <c r="C17" s="33"/>
      <c r="D17" s="1" t="s">
        <v>26</v>
      </c>
      <c r="E17" s="1" t="s">
        <v>27</v>
      </c>
      <c r="F17" s="268">
        <v>1650000</v>
      </c>
      <c r="G17" s="269">
        <v>1653301.89</v>
      </c>
      <c r="H17" s="238"/>
      <c r="I17" s="34">
        <v>1700000</v>
      </c>
      <c r="J17" s="20">
        <v>1800000</v>
      </c>
      <c r="K17" s="322">
        <f t="shared" ref="K17:K22" si="2">(I17/12*4)+(J17/12*8)</f>
        <v>1766666.6666666665</v>
      </c>
      <c r="L17" s="375">
        <v>1890226.83</v>
      </c>
      <c r="M17" s="393">
        <v>2800000</v>
      </c>
    </row>
    <row r="18" spans="1:13" x14ac:dyDescent="0.45">
      <c r="A18" s="12"/>
      <c r="B18" s="298">
        <v>2.2000000000000002</v>
      </c>
      <c r="C18" s="42"/>
      <c r="D18" s="1" t="s">
        <v>28</v>
      </c>
      <c r="E18" s="1" t="s">
        <v>29</v>
      </c>
      <c r="F18" s="268">
        <v>3920000</v>
      </c>
      <c r="G18" s="269">
        <v>3142525.52</v>
      </c>
      <c r="H18" s="238"/>
      <c r="I18" s="34">
        <v>4400000</v>
      </c>
      <c r="J18" s="20">
        <v>4700000</v>
      </c>
      <c r="K18" s="322">
        <f t="shared" si="2"/>
        <v>4600000</v>
      </c>
      <c r="L18" s="375">
        <v>3624552.93</v>
      </c>
      <c r="M18" s="393">
        <v>4900000</v>
      </c>
    </row>
    <row r="19" spans="1:13" x14ac:dyDescent="0.45">
      <c r="A19" s="12"/>
      <c r="B19" s="298">
        <v>2.2999999999999998</v>
      </c>
      <c r="C19" s="43"/>
      <c r="D19" s="1" t="s">
        <v>30</v>
      </c>
      <c r="E19" s="1" t="s">
        <v>31</v>
      </c>
      <c r="F19" s="268">
        <v>820000</v>
      </c>
      <c r="G19" s="269">
        <v>742304.15</v>
      </c>
      <c r="H19" s="238"/>
      <c r="I19" s="34">
        <v>980000</v>
      </c>
      <c r="J19" s="20">
        <v>1040000</v>
      </c>
      <c r="K19" s="322">
        <f t="shared" si="2"/>
        <v>1020000</v>
      </c>
      <c r="L19" s="375">
        <v>866038.45</v>
      </c>
      <c r="M19" s="393">
        <v>1220000</v>
      </c>
    </row>
    <row r="20" spans="1:13" x14ac:dyDescent="0.45">
      <c r="A20" s="12"/>
      <c r="B20" s="298">
        <v>2.4</v>
      </c>
      <c r="C20" s="33"/>
      <c r="D20" s="1" t="s">
        <v>32</v>
      </c>
      <c r="E20" s="1" t="s">
        <v>33</v>
      </c>
      <c r="F20" s="268">
        <v>410000</v>
      </c>
      <c r="G20" s="269">
        <v>313474.90000000002</v>
      </c>
      <c r="H20" s="238"/>
      <c r="I20" s="34">
        <v>440000</v>
      </c>
      <c r="J20" s="20">
        <v>450000</v>
      </c>
      <c r="K20" s="322">
        <f t="shared" si="2"/>
        <v>446666.66666666663</v>
      </c>
      <c r="L20" s="375">
        <v>323468.78000000003</v>
      </c>
      <c r="M20" s="393">
        <v>470000</v>
      </c>
    </row>
    <row r="21" spans="1:13" x14ac:dyDescent="0.45">
      <c r="A21" s="12"/>
      <c r="B21" s="298">
        <v>2.5</v>
      </c>
      <c r="C21" s="33"/>
      <c r="D21" s="1" t="s">
        <v>34</v>
      </c>
      <c r="E21" s="1" t="s">
        <v>35</v>
      </c>
      <c r="F21" s="268">
        <v>350000</v>
      </c>
      <c r="G21" s="269">
        <v>73381.609999999986</v>
      </c>
      <c r="H21" s="238"/>
      <c r="I21" s="34">
        <v>480000</v>
      </c>
      <c r="J21" s="20">
        <v>510000</v>
      </c>
      <c r="K21" s="322">
        <f t="shared" si="2"/>
        <v>500000</v>
      </c>
      <c r="L21" s="375">
        <v>73587.179999999993</v>
      </c>
      <c r="M21" s="393">
        <v>610000</v>
      </c>
    </row>
    <row r="22" spans="1:13" ht="14.65" thickBot="1" x14ac:dyDescent="0.5">
      <c r="A22" s="12"/>
      <c r="B22" s="298">
        <v>2.6</v>
      </c>
      <c r="C22" s="33"/>
      <c r="D22" s="1" t="s">
        <v>36</v>
      </c>
      <c r="E22" s="1" t="s">
        <v>37</v>
      </c>
      <c r="F22" s="268"/>
      <c r="G22" s="269">
        <v>52429.79</v>
      </c>
      <c r="H22" s="238"/>
      <c r="I22" s="34">
        <v>450000</v>
      </c>
      <c r="J22" s="20">
        <v>450000</v>
      </c>
      <c r="K22" s="322">
        <f t="shared" si="2"/>
        <v>450000</v>
      </c>
      <c r="L22" s="375">
        <v>192032.57</v>
      </c>
      <c r="M22" s="393">
        <v>250000</v>
      </c>
    </row>
    <row r="23" spans="1:13" ht="14.65" thickBot="1" x14ac:dyDescent="0.5">
      <c r="A23" s="4">
        <v>3</v>
      </c>
      <c r="B23" s="300"/>
      <c r="C23" s="39"/>
      <c r="D23" s="7" t="s">
        <v>38</v>
      </c>
      <c r="E23" s="7" t="s">
        <v>39</v>
      </c>
      <c r="F23" s="270">
        <v>110000</v>
      </c>
      <c r="G23" s="271">
        <v>57428.84</v>
      </c>
      <c r="H23" s="242"/>
      <c r="I23" s="40">
        <v>150000</v>
      </c>
      <c r="J23" s="202">
        <v>150000</v>
      </c>
      <c r="K23" s="323">
        <f t="shared" ref="K23:K24" si="3">(I23/12*4)+(J23/12*8)</f>
        <v>150000</v>
      </c>
      <c r="L23" s="376">
        <v>45657.18</v>
      </c>
      <c r="M23" s="394">
        <v>150000</v>
      </c>
    </row>
    <row r="24" spans="1:13" ht="14.65" thickBot="1" x14ac:dyDescent="0.5">
      <c r="A24" s="4">
        <v>4</v>
      </c>
      <c r="B24" s="300"/>
      <c r="C24" s="39"/>
      <c r="D24" s="7" t="s">
        <v>40</v>
      </c>
      <c r="E24" s="7" t="s">
        <v>41</v>
      </c>
      <c r="F24" s="270">
        <v>200000</v>
      </c>
      <c r="G24" s="369">
        <v>-476241.9</v>
      </c>
      <c r="H24" s="242"/>
      <c r="I24" s="40">
        <v>40000</v>
      </c>
      <c r="J24" s="202">
        <v>40000</v>
      </c>
      <c r="K24" s="323">
        <f t="shared" si="3"/>
        <v>40000</v>
      </c>
      <c r="L24" s="378">
        <v>-476241.9</v>
      </c>
      <c r="M24" s="394">
        <v>40000</v>
      </c>
    </row>
    <row r="25" spans="1:13" ht="14.65" thickBot="1" x14ac:dyDescent="0.5">
      <c r="A25" s="4">
        <v>5</v>
      </c>
      <c r="B25" s="300"/>
      <c r="C25" s="44"/>
      <c r="D25" s="7" t="s">
        <v>42</v>
      </c>
      <c r="E25" s="7" t="s">
        <v>43</v>
      </c>
      <c r="F25" s="270">
        <v>295000</v>
      </c>
      <c r="G25" s="271">
        <v>179918.07999999999</v>
      </c>
      <c r="H25" s="242"/>
      <c r="I25" s="40">
        <f t="shared" ref="I25:M25" si="4">SUM(I26:I31)</f>
        <v>131000</v>
      </c>
      <c r="J25" s="202">
        <f t="shared" si="4"/>
        <v>131000</v>
      </c>
      <c r="K25" s="323">
        <f t="shared" si="4"/>
        <v>131000</v>
      </c>
      <c r="L25" s="376">
        <v>153498.68</v>
      </c>
      <c r="M25" s="394">
        <f t="shared" si="4"/>
        <v>150000</v>
      </c>
    </row>
    <row r="26" spans="1:13" x14ac:dyDescent="0.45">
      <c r="A26" s="12"/>
      <c r="B26" s="298">
        <v>5.0999999999999996</v>
      </c>
      <c r="C26" s="33"/>
      <c r="D26" s="1" t="s">
        <v>44</v>
      </c>
      <c r="E26" s="1" t="s">
        <v>45</v>
      </c>
      <c r="F26" s="268">
        <v>5000</v>
      </c>
      <c r="G26" s="269">
        <v>11329.689999999999</v>
      </c>
      <c r="H26" s="238"/>
      <c r="I26" s="34">
        <v>1000</v>
      </c>
      <c r="J26" s="20">
        <v>1000</v>
      </c>
      <c r="K26" s="322">
        <f t="shared" ref="K26:K30" si="5">(I26/12*4)+(J26/12*8)</f>
        <v>1000</v>
      </c>
      <c r="L26" s="375"/>
      <c r="M26" s="393">
        <v>3000</v>
      </c>
    </row>
    <row r="27" spans="1:13" x14ac:dyDescent="0.45">
      <c r="A27" s="12"/>
      <c r="B27" s="298">
        <v>5.2</v>
      </c>
      <c r="C27" s="33"/>
      <c r="D27" s="1" t="s">
        <v>46</v>
      </c>
      <c r="E27" s="1" t="s">
        <v>47</v>
      </c>
      <c r="F27" s="268">
        <v>20000</v>
      </c>
      <c r="G27" s="269">
        <v>13780.749999999998</v>
      </c>
      <c r="H27" s="238"/>
      <c r="I27" s="34">
        <v>5000</v>
      </c>
      <c r="J27" s="20">
        <v>5000</v>
      </c>
      <c r="K27" s="322">
        <f t="shared" si="5"/>
        <v>5000</v>
      </c>
      <c r="L27" s="375">
        <v>3512.51</v>
      </c>
      <c r="M27" s="393">
        <v>5000</v>
      </c>
    </row>
    <row r="28" spans="1:13" x14ac:dyDescent="0.45">
      <c r="A28" s="12"/>
      <c r="B28" s="298">
        <v>5.3</v>
      </c>
      <c r="C28" s="33"/>
      <c r="D28" s="1" t="s">
        <v>48</v>
      </c>
      <c r="E28" s="1" t="s">
        <v>49</v>
      </c>
      <c r="F28" s="268">
        <v>50000</v>
      </c>
      <c r="G28" s="269">
        <v>66200.289999999994</v>
      </c>
      <c r="H28" s="238"/>
      <c r="I28" s="34">
        <v>50000</v>
      </c>
      <c r="J28" s="20">
        <v>50000</v>
      </c>
      <c r="K28" s="322">
        <f t="shared" si="5"/>
        <v>50000</v>
      </c>
      <c r="L28" s="375">
        <v>47343.71</v>
      </c>
      <c r="M28" s="393">
        <v>50000</v>
      </c>
    </row>
    <row r="29" spans="1:13" x14ac:dyDescent="0.45">
      <c r="A29" s="12"/>
      <c r="B29" s="298">
        <v>5.4</v>
      </c>
      <c r="C29" s="33"/>
      <c r="D29" s="1" t="s">
        <v>50</v>
      </c>
      <c r="E29" s="1" t="s">
        <v>51</v>
      </c>
      <c r="F29" s="268">
        <v>55000</v>
      </c>
      <c r="G29" s="269">
        <v>52210.789999999994</v>
      </c>
      <c r="H29" s="238"/>
      <c r="I29" s="34">
        <v>65000</v>
      </c>
      <c r="J29" s="20">
        <v>65000</v>
      </c>
      <c r="K29" s="322">
        <f t="shared" si="5"/>
        <v>65000</v>
      </c>
      <c r="L29" s="375">
        <v>62712.24</v>
      </c>
      <c r="M29" s="393">
        <v>65000</v>
      </c>
    </row>
    <row r="30" spans="1:13" x14ac:dyDescent="0.45">
      <c r="A30" s="12"/>
      <c r="B30" s="298">
        <v>5.5</v>
      </c>
      <c r="C30" s="33"/>
      <c r="D30" s="1" t="s">
        <v>52</v>
      </c>
      <c r="E30" s="1" t="s">
        <v>53</v>
      </c>
      <c r="F30" s="268">
        <v>10000</v>
      </c>
      <c r="G30" s="269">
        <v>10565.75</v>
      </c>
      <c r="H30" s="238"/>
      <c r="I30" s="34">
        <v>10000</v>
      </c>
      <c r="J30" s="20">
        <v>10000</v>
      </c>
      <c r="K30" s="322">
        <f t="shared" si="5"/>
        <v>10000</v>
      </c>
      <c r="L30" s="375">
        <v>9397.34</v>
      </c>
      <c r="M30" s="393">
        <v>12000</v>
      </c>
    </row>
    <row r="31" spans="1:13" ht="14.65" thickBot="1" x14ac:dyDescent="0.5">
      <c r="A31" s="12"/>
      <c r="B31" s="298">
        <v>5.6</v>
      </c>
      <c r="C31" s="33"/>
      <c r="D31" s="14" t="s">
        <v>54</v>
      </c>
      <c r="E31" s="14" t="s">
        <v>55</v>
      </c>
      <c r="F31" s="268">
        <v>155000</v>
      </c>
      <c r="G31" s="269">
        <v>25830.809999999998</v>
      </c>
      <c r="H31" s="238"/>
      <c r="I31" s="34">
        <v>0</v>
      </c>
      <c r="J31" s="20">
        <v>0</v>
      </c>
      <c r="K31" s="322">
        <f>(I31/12*4)+(J31/12*8)</f>
        <v>0</v>
      </c>
      <c r="L31" s="375">
        <v>30532.880000000001</v>
      </c>
      <c r="M31" s="393">
        <v>15000</v>
      </c>
    </row>
    <row r="32" spans="1:13" ht="14.65" thickBot="1" x14ac:dyDescent="0.5">
      <c r="A32" s="4">
        <v>6</v>
      </c>
      <c r="B32" s="300"/>
      <c r="C32" s="44"/>
      <c r="D32" s="234" t="s">
        <v>56</v>
      </c>
      <c r="E32" s="234" t="s">
        <v>57</v>
      </c>
      <c r="F32" s="270">
        <v>355000</v>
      </c>
      <c r="G32" s="271">
        <v>169514</v>
      </c>
      <c r="H32" s="243"/>
      <c r="I32" s="40">
        <f>SUM(I34:I40)</f>
        <v>280000</v>
      </c>
      <c r="J32" s="202">
        <f>SUM(J34:J40)</f>
        <v>280000</v>
      </c>
      <c r="K32" s="323">
        <f>SUM(K34:K40)</f>
        <v>280000</v>
      </c>
      <c r="L32" s="376">
        <v>149934.16</v>
      </c>
      <c r="M32" s="394">
        <f>SUM(M34:M41)</f>
        <v>386000</v>
      </c>
    </row>
    <row r="33" spans="1:13" x14ac:dyDescent="0.45">
      <c r="A33" s="6"/>
      <c r="B33" s="337"/>
      <c r="C33" s="45"/>
      <c r="D33" s="235" t="s">
        <v>58</v>
      </c>
      <c r="E33" s="257" t="s">
        <v>59</v>
      </c>
      <c r="F33" s="275"/>
      <c r="G33" s="276"/>
      <c r="H33" s="244"/>
      <c r="I33" s="47"/>
      <c r="J33" s="204"/>
      <c r="K33" s="319"/>
      <c r="L33" s="370"/>
      <c r="M33" s="396"/>
    </row>
    <row r="34" spans="1:13" x14ac:dyDescent="0.45">
      <c r="A34" s="12"/>
      <c r="B34" s="298">
        <v>6.1</v>
      </c>
      <c r="D34" s="231" t="s">
        <v>60</v>
      </c>
      <c r="E34" s="258" t="s">
        <v>61</v>
      </c>
      <c r="F34" s="268">
        <v>50000</v>
      </c>
      <c r="G34" s="269"/>
      <c r="H34" s="245"/>
      <c r="I34" s="34">
        <v>35000</v>
      </c>
      <c r="J34" s="20">
        <v>35000</v>
      </c>
      <c r="K34" s="322">
        <f t="shared" ref="K34:K40" si="6">(I34/12*4)+(J34/12*8)</f>
        <v>35000</v>
      </c>
      <c r="L34" s="375"/>
      <c r="M34" s="393">
        <v>27000</v>
      </c>
    </row>
    <row r="35" spans="1:13" x14ac:dyDescent="0.45">
      <c r="A35" s="12"/>
      <c r="B35" s="298">
        <v>6.2</v>
      </c>
      <c r="D35" s="232" t="s">
        <v>62</v>
      </c>
      <c r="E35" s="236" t="s">
        <v>63</v>
      </c>
      <c r="F35" s="268">
        <v>90000</v>
      </c>
      <c r="G35" s="269">
        <v>2486.85</v>
      </c>
      <c r="H35" s="245"/>
      <c r="I35" s="34">
        <v>65000</v>
      </c>
      <c r="J35" s="20">
        <v>65000</v>
      </c>
      <c r="K35" s="322">
        <f t="shared" si="6"/>
        <v>65000</v>
      </c>
      <c r="L35" s="375">
        <v>11073.7</v>
      </c>
      <c r="M35" s="393">
        <v>69000</v>
      </c>
    </row>
    <row r="36" spans="1:13" x14ac:dyDescent="0.45">
      <c r="A36" s="12"/>
      <c r="B36" s="298">
        <v>6.3</v>
      </c>
      <c r="C36" s="33"/>
      <c r="D36" s="233" t="s">
        <v>64</v>
      </c>
      <c r="E36" s="259" t="s">
        <v>65</v>
      </c>
      <c r="F36" s="268">
        <v>55000</v>
      </c>
      <c r="G36" s="269">
        <v>11131.02</v>
      </c>
      <c r="H36" s="245"/>
      <c r="I36" s="34">
        <v>30000</v>
      </c>
      <c r="J36" s="20">
        <v>30000</v>
      </c>
      <c r="K36" s="322">
        <f t="shared" si="6"/>
        <v>30000</v>
      </c>
      <c r="L36" s="375">
        <v>17009.849999999999</v>
      </c>
      <c r="M36" s="393">
        <v>30000</v>
      </c>
    </row>
    <row r="37" spans="1:13" x14ac:dyDescent="0.45">
      <c r="A37" s="12"/>
      <c r="B37" s="298">
        <v>6.4</v>
      </c>
      <c r="C37" s="33"/>
      <c r="D37" s="1" t="s">
        <v>66</v>
      </c>
      <c r="E37" s="64" t="s">
        <v>67</v>
      </c>
      <c r="F37" s="268">
        <v>75000</v>
      </c>
      <c r="G37" s="269">
        <v>45330.270000000004</v>
      </c>
      <c r="H37" s="246"/>
      <c r="I37" s="34">
        <v>75000</v>
      </c>
      <c r="J37" s="20">
        <v>75000</v>
      </c>
      <c r="K37" s="322">
        <f t="shared" si="6"/>
        <v>75000</v>
      </c>
      <c r="L37" s="375">
        <v>77204.06</v>
      </c>
      <c r="M37" s="393">
        <v>75000</v>
      </c>
    </row>
    <row r="38" spans="1:13" x14ac:dyDescent="0.45">
      <c r="A38" s="12"/>
      <c r="B38" s="298">
        <v>6.5</v>
      </c>
      <c r="C38" s="33"/>
      <c r="D38" s="1" t="s">
        <v>68</v>
      </c>
      <c r="E38" s="64" t="s">
        <v>69</v>
      </c>
      <c r="F38" s="268">
        <v>40000</v>
      </c>
      <c r="G38" s="269">
        <v>110238.25</v>
      </c>
      <c r="H38" s="246"/>
      <c r="I38" s="34">
        <v>30000</v>
      </c>
      <c r="J38" s="20">
        <v>30000</v>
      </c>
      <c r="K38" s="322">
        <f t="shared" si="6"/>
        <v>30000</v>
      </c>
      <c r="L38" s="375">
        <v>35641.550000000003</v>
      </c>
      <c r="M38" s="393">
        <v>30000</v>
      </c>
    </row>
    <row r="39" spans="1:13" x14ac:dyDescent="0.45">
      <c r="A39" s="12"/>
      <c r="B39" s="298">
        <v>6.6</v>
      </c>
      <c r="C39" s="33"/>
      <c r="D39" s="1" t="s">
        <v>70</v>
      </c>
      <c r="E39" s="64" t="s">
        <v>71</v>
      </c>
      <c r="F39" s="268">
        <v>10000</v>
      </c>
      <c r="G39" s="269"/>
      <c r="H39" s="246"/>
      <c r="I39" s="34">
        <v>10000</v>
      </c>
      <c r="J39" s="20">
        <v>10000</v>
      </c>
      <c r="K39" s="322">
        <f t="shared" si="6"/>
        <v>10000</v>
      </c>
      <c r="L39" s="375">
        <v>8755</v>
      </c>
      <c r="M39" s="393">
        <v>20000</v>
      </c>
    </row>
    <row r="40" spans="1:13" x14ac:dyDescent="0.45">
      <c r="A40" s="12"/>
      <c r="B40" s="298">
        <v>6.7</v>
      </c>
      <c r="C40" s="33"/>
      <c r="D40" s="1" t="s">
        <v>72</v>
      </c>
      <c r="E40" s="64" t="s">
        <v>73</v>
      </c>
      <c r="F40" s="268">
        <v>35000</v>
      </c>
      <c r="G40" s="269">
        <v>328</v>
      </c>
      <c r="H40" s="246"/>
      <c r="I40" s="34">
        <v>35000</v>
      </c>
      <c r="J40" s="20">
        <v>35000</v>
      </c>
      <c r="K40" s="322">
        <f t="shared" si="6"/>
        <v>35000</v>
      </c>
      <c r="L40" s="375">
        <v>250</v>
      </c>
      <c r="M40" s="393">
        <v>75000</v>
      </c>
    </row>
    <row r="41" spans="1:13" ht="14.65" thickBot="1" x14ac:dyDescent="0.5">
      <c r="A41" s="12"/>
      <c r="B41" s="298">
        <v>6.8</v>
      </c>
      <c r="C41" s="33"/>
      <c r="D41" s="14" t="s">
        <v>74</v>
      </c>
      <c r="E41" s="14" t="s">
        <v>75</v>
      </c>
      <c r="F41" s="268"/>
      <c r="G41" s="269"/>
      <c r="H41" s="238"/>
      <c r="I41" s="34"/>
      <c r="J41" s="20"/>
      <c r="K41" s="322"/>
      <c r="L41" s="375"/>
      <c r="M41" s="393">
        <v>60000</v>
      </c>
    </row>
    <row r="42" spans="1:13" ht="14.65" thickBot="1" x14ac:dyDescent="0.5">
      <c r="A42" s="4">
        <v>7</v>
      </c>
      <c r="B42" s="300"/>
      <c r="C42" s="44"/>
      <c r="D42" s="7" t="s">
        <v>76</v>
      </c>
      <c r="E42" s="7" t="s">
        <v>77</v>
      </c>
      <c r="F42" s="270">
        <v>1780000</v>
      </c>
      <c r="G42" s="271">
        <v>1729907.19</v>
      </c>
      <c r="H42" s="242"/>
      <c r="I42" s="40">
        <f t="shared" ref="I42:M42" si="7">SUM(I43:I49)</f>
        <v>1430000</v>
      </c>
      <c r="J42" s="202">
        <f t="shared" si="7"/>
        <v>1430000</v>
      </c>
      <c r="K42" s="323">
        <f t="shared" si="7"/>
        <v>1430000</v>
      </c>
      <c r="L42" s="376">
        <v>1883179.53</v>
      </c>
      <c r="M42" s="394">
        <f t="shared" si="7"/>
        <v>1680000</v>
      </c>
    </row>
    <row r="43" spans="1:13" s="13" customFormat="1" x14ac:dyDescent="0.45">
      <c r="A43" s="51"/>
      <c r="B43" s="316">
        <v>7.1</v>
      </c>
      <c r="C43" s="52"/>
      <c r="D43" s="53" t="s">
        <v>78</v>
      </c>
      <c r="E43" s="53" t="s">
        <v>79</v>
      </c>
      <c r="F43" s="277">
        <v>360000</v>
      </c>
      <c r="G43" s="278">
        <v>440563.28999999992</v>
      </c>
      <c r="H43" s="247"/>
      <c r="I43" s="54">
        <v>360000</v>
      </c>
      <c r="J43" s="205">
        <v>360000</v>
      </c>
      <c r="K43" s="325">
        <f t="shared" ref="K43:K49" si="8">(I43/12*4)+(J43/12*8)</f>
        <v>360000</v>
      </c>
      <c r="L43" s="379">
        <v>493955.83</v>
      </c>
      <c r="M43" s="397">
        <v>400000</v>
      </c>
    </row>
    <row r="44" spans="1:13" s="13" customFormat="1" x14ac:dyDescent="0.45">
      <c r="A44" s="51"/>
      <c r="B44" s="316">
        <v>7.2</v>
      </c>
      <c r="C44" s="52"/>
      <c r="D44" s="53" t="s">
        <v>80</v>
      </c>
      <c r="E44" s="53" t="s">
        <v>81</v>
      </c>
      <c r="F44" s="277">
        <v>100000</v>
      </c>
      <c r="G44" s="278">
        <v>19888</v>
      </c>
      <c r="H44" s="247"/>
      <c r="I44" s="54">
        <v>100000</v>
      </c>
      <c r="J44" s="205">
        <v>100000</v>
      </c>
      <c r="K44" s="325">
        <f t="shared" si="8"/>
        <v>100000</v>
      </c>
      <c r="L44" s="379"/>
      <c r="M44" s="397">
        <v>100000</v>
      </c>
    </row>
    <row r="45" spans="1:13" s="13" customFormat="1" x14ac:dyDescent="0.45">
      <c r="A45" s="51"/>
      <c r="B45" s="316">
        <v>7.3</v>
      </c>
      <c r="C45" s="52"/>
      <c r="D45" s="53" t="s">
        <v>82</v>
      </c>
      <c r="E45" s="53" t="s">
        <v>83</v>
      </c>
      <c r="F45" s="277">
        <v>325000</v>
      </c>
      <c r="G45" s="278">
        <v>271194.75999999989</v>
      </c>
      <c r="H45" s="247"/>
      <c r="I45" s="54">
        <v>325000</v>
      </c>
      <c r="J45" s="205">
        <v>325000</v>
      </c>
      <c r="K45" s="325">
        <f t="shared" si="8"/>
        <v>325000</v>
      </c>
      <c r="L45" s="379">
        <v>134003.23000000001</v>
      </c>
      <c r="M45" s="397">
        <v>325000</v>
      </c>
    </row>
    <row r="46" spans="1:13" s="13" customFormat="1" x14ac:dyDescent="0.45">
      <c r="A46" s="51"/>
      <c r="B46" s="316">
        <v>7.4</v>
      </c>
      <c r="C46" s="52"/>
      <c r="D46" s="53" t="s">
        <v>84</v>
      </c>
      <c r="E46" s="53" t="s">
        <v>85</v>
      </c>
      <c r="F46" s="277">
        <v>85000</v>
      </c>
      <c r="G46" s="278"/>
      <c r="H46" s="247"/>
      <c r="I46" s="54">
        <v>85000</v>
      </c>
      <c r="J46" s="205">
        <v>85000</v>
      </c>
      <c r="K46" s="325">
        <f t="shared" si="8"/>
        <v>85000</v>
      </c>
      <c r="L46" s="379"/>
      <c r="M46" s="397">
        <v>185000</v>
      </c>
    </row>
    <row r="47" spans="1:13" s="13" customFormat="1" ht="12.75" customHeight="1" x14ac:dyDescent="0.45">
      <c r="A47" s="51"/>
      <c r="B47" s="316">
        <v>7.5</v>
      </c>
      <c r="C47" s="52"/>
      <c r="D47" s="55" t="s">
        <v>86</v>
      </c>
      <c r="E47" s="55" t="s">
        <v>87</v>
      </c>
      <c r="F47" s="277">
        <v>200000</v>
      </c>
      <c r="G47" s="278">
        <v>280763.62</v>
      </c>
      <c r="H47" s="248"/>
      <c r="I47" s="54">
        <v>200000</v>
      </c>
      <c r="J47" s="205">
        <v>200000</v>
      </c>
      <c r="K47" s="325">
        <f t="shared" si="8"/>
        <v>200000</v>
      </c>
      <c r="L47" s="379">
        <v>269743.08</v>
      </c>
      <c r="M47" s="397">
        <v>250000</v>
      </c>
    </row>
    <row r="48" spans="1:13" s="13" customFormat="1" x14ac:dyDescent="0.45">
      <c r="A48" s="51"/>
      <c r="B48" s="316">
        <v>7.6</v>
      </c>
      <c r="C48" s="52"/>
      <c r="D48" s="53" t="s">
        <v>88</v>
      </c>
      <c r="E48" s="53" t="s">
        <v>89</v>
      </c>
      <c r="F48" s="277">
        <v>650000</v>
      </c>
      <c r="G48" s="278">
        <v>652974.52</v>
      </c>
      <c r="H48" s="247"/>
      <c r="I48" s="54">
        <v>300000</v>
      </c>
      <c r="J48" s="205">
        <v>300000</v>
      </c>
      <c r="K48" s="325">
        <f t="shared" si="8"/>
        <v>300000</v>
      </c>
      <c r="L48" s="379">
        <v>928299.39</v>
      </c>
      <c r="M48" s="397">
        <v>360000</v>
      </c>
    </row>
    <row r="49" spans="1:13" s="13" customFormat="1" ht="14.65" thickBot="1" x14ac:dyDescent="0.5">
      <c r="A49" s="51"/>
      <c r="B49" s="316">
        <v>7.7</v>
      </c>
      <c r="C49" s="52"/>
      <c r="D49" s="53" t="s">
        <v>90</v>
      </c>
      <c r="E49" s="53" t="s">
        <v>91</v>
      </c>
      <c r="F49" s="277">
        <v>60000</v>
      </c>
      <c r="G49" s="278">
        <v>64523</v>
      </c>
      <c r="H49" s="247"/>
      <c r="I49" s="54">
        <v>60000</v>
      </c>
      <c r="J49" s="205">
        <v>60000</v>
      </c>
      <c r="K49" s="325">
        <f t="shared" si="8"/>
        <v>60000</v>
      </c>
      <c r="L49" s="379">
        <v>57178</v>
      </c>
      <c r="M49" s="397">
        <v>60000</v>
      </c>
    </row>
    <row r="50" spans="1:13" s="13" customFormat="1" ht="14.65" thickBot="1" x14ac:dyDescent="0.5">
      <c r="A50" s="56">
        <v>8</v>
      </c>
      <c r="B50" s="338"/>
      <c r="C50" s="57"/>
      <c r="D50" s="58" t="s">
        <v>92</v>
      </c>
      <c r="E50" s="58" t="s">
        <v>93</v>
      </c>
      <c r="F50" s="279">
        <v>206000</v>
      </c>
      <c r="G50" s="280">
        <v>121685.37</v>
      </c>
      <c r="H50" s="249"/>
      <c r="I50" s="59">
        <f t="shared" ref="I50:M50" si="9">SUM(I51:I59)</f>
        <v>256000</v>
      </c>
      <c r="J50" s="206">
        <f t="shared" si="9"/>
        <v>226000</v>
      </c>
      <c r="K50" s="326">
        <f t="shared" si="9"/>
        <v>236000</v>
      </c>
      <c r="L50" s="380">
        <v>163123.28</v>
      </c>
      <c r="M50" s="398">
        <f t="shared" si="9"/>
        <v>264000</v>
      </c>
    </row>
    <row r="51" spans="1:13" s="13" customFormat="1" x14ac:dyDescent="0.45">
      <c r="A51" s="51"/>
      <c r="B51" s="316">
        <v>8.1</v>
      </c>
      <c r="C51" s="52"/>
      <c r="D51" s="53" t="s">
        <v>94</v>
      </c>
      <c r="E51" s="53" t="s">
        <v>95</v>
      </c>
      <c r="F51" s="277">
        <v>50000</v>
      </c>
      <c r="G51" s="278">
        <v>24541.85</v>
      </c>
      <c r="H51" s="247"/>
      <c r="I51" s="54">
        <v>50000</v>
      </c>
      <c r="J51" s="205">
        <v>50000</v>
      </c>
      <c r="K51" s="325">
        <f t="shared" ref="K51:K59" si="10">(I51/12*4)+(J51/12*8)</f>
        <v>50000</v>
      </c>
      <c r="L51" s="379">
        <v>28759.43</v>
      </c>
      <c r="M51" s="397">
        <v>50000</v>
      </c>
    </row>
    <row r="52" spans="1:13" x14ac:dyDescent="0.45">
      <c r="A52" s="12"/>
      <c r="B52" s="298">
        <v>8.1999999999999993</v>
      </c>
      <c r="C52" s="33"/>
      <c r="D52" s="1" t="s">
        <v>96</v>
      </c>
      <c r="E52" s="1" t="s">
        <v>97</v>
      </c>
      <c r="F52" s="277">
        <v>12000</v>
      </c>
      <c r="G52" s="278">
        <v>4425.8999999999996</v>
      </c>
      <c r="H52" s="238"/>
      <c r="I52" s="54">
        <v>12000</v>
      </c>
      <c r="J52" s="205">
        <v>12000</v>
      </c>
      <c r="K52" s="325">
        <f t="shared" si="10"/>
        <v>12000</v>
      </c>
      <c r="L52" s="379">
        <v>6150.37</v>
      </c>
      <c r="M52" s="397">
        <v>10000</v>
      </c>
    </row>
    <row r="53" spans="1:13" x14ac:dyDescent="0.45">
      <c r="A53" s="12"/>
      <c r="B53" s="298">
        <v>8.3000000000000007</v>
      </c>
      <c r="C53" s="33"/>
      <c r="D53" s="1" t="s">
        <v>98</v>
      </c>
      <c r="E53" s="1" t="s">
        <v>99</v>
      </c>
      <c r="F53" s="277">
        <v>30000</v>
      </c>
      <c r="G53" s="278">
        <v>39992.76</v>
      </c>
      <c r="H53" s="238"/>
      <c r="I53" s="54">
        <v>50000</v>
      </c>
      <c r="J53" s="205">
        <v>50000</v>
      </c>
      <c r="K53" s="325">
        <f t="shared" si="10"/>
        <v>50000</v>
      </c>
      <c r="L53" s="379">
        <v>40632.39</v>
      </c>
      <c r="M53" s="397">
        <v>50000</v>
      </c>
    </row>
    <row r="54" spans="1:13" x14ac:dyDescent="0.45">
      <c r="A54" s="60"/>
      <c r="B54" s="317">
        <v>8.4</v>
      </c>
      <c r="C54" s="33"/>
      <c r="D54" s="1" t="s">
        <v>100</v>
      </c>
      <c r="E54" s="1" t="s">
        <v>101</v>
      </c>
      <c r="F54" s="268">
        <v>5000</v>
      </c>
      <c r="G54" s="269">
        <v>1086.8900000000001</v>
      </c>
      <c r="H54" s="238"/>
      <c r="I54" s="34">
        <v>5000</v>
      </c>
      <c r="J54" s="20">
        <v>5000</v>
      </c>
      <c r="K54" s="322">
        <f t="shared" si="10"/>
        <v>5000</v>
      </c>
      <c r="L54" s="375">
        <v>1821</v>
      </c>
      <c r="M54" s="393">
        <v>5000</v>
      </c>
    </row>
    <row r="55" spans="1:13" x14ac:dyDescent="0.45">
      <c r="A55" s="12"/>
      <c r="B55" s="298">
        <v>8.5</v>
      </c>
      <c r="C55" s="33"/>
      <c r="D55" s="1" t="s">
        <v>102</v>
      </c>
      <c r="E55" s="1" t="s">
        <v>103</v>
      </c>
      <c r="F55" s="268">
        <v>0</v>
      </c>
      <c r="G55" s="269"/>
      <c r="H55" s="238"/>
      <c r="I55" s="34">
        <v>0</v>
      </c>
      <c r="J55" s="20">
        <v>0</v>
      </c>
      <c r="K55" s="322">
        <f t="shared" si="10"/>
        <v>0</v>
      </c>
      <c r="L55" s="375"/>
      <c r="M55" s="393">
        <v>0</v>
      </c>
    </row>
    <row r="56" spans="1:13" x14ac:dyDescent="0.45">
      <c r="A56" s="12"/>
      <c r="B56" s="298">
        <v>8.6</v>
      </c>
      <c r="C56" s="33"/>
      <c r="D56" s="1" t="s">
        <v>104</v>
      </c>
      <c r="E56" s="1" t="s">
        <v>105</v>
      </c>
      <c r="F56" s="268">
        <v>50000</v>
      </c>
      <c r="G56" s="269">
        <v>36504.909999999996</v>
      </c>
      <c r="H56" s="238"/>
      <c r="I56" s="34">
        <v>50000</v>
      </c>
      <c r="J56" s="20">
        <v>50000</v>
      </c>
      <c r="K56" s="322">
        <f t="shared" si="10"/>
        <v>50000</v>
      </c>
      <c r="L56" s="375">
        <v>55890.67</v>
      </c>
      <c r="M56" s="393">
        <v>60000</v>
      </c>
    </row>
    <row r="57" spans="1:13" x14ac:dyDescent="0.45">
      <c r="A57" s="12"/>
      <c r="B57" s="298">
        <v>8.6999999999999993</v>
      </c>
      <c r="C57" s="33"/>
      <c r="D57" s="1" t="s">
        <v>106</v>
      </c>
      <c r="E57" s="1" t="s">
        <v>107</v>
      </c>
      <c r="F57" s="268">
        <v>4000</v>
      </c>
      <c r="G57" s="269">
        <v>1913.99</v>
      </c>
      <c r="H57" s="238"/>
      <c r="I57" s="34">
        <v>4000</v>
      </c>
      <c r="J57" s="20">
        <v>4000</v>
      </c>
      <c r="K57" s="322">
        <f t="shared" si="10"/>
        <v>4000</v>
      </c>
      <c r="L57" s="375">
        <v>3459.92</v>
      </c>
      <c r="M57" s="393">
        <v>4000</v>
      </c>
    </row>
    <row r="58" spans="1:13" x14ac:dyDescent="0.45">
      <c r="A58" s="12"/>
      <c r="B58" s="298">
        <v>8.8000000000000007</v>
      </c>
      <c r="C58" s="33"/>
      <c r="D58" s="61" t="s">
        <v>108</v>
      </c>
      <c r="E58" s="61" t="s">
        <v>109</v>
      </c>
      <c r="F58" s="268">
        <v>55000</v>
      </c>
      <c r="G58" s="269">
        <v>5648.07</v>
      </c>
      <c r="H58" s="250"/>
      <c r="I58" s="34">
        <v>55000</v>
      </c>
      <c r="J58" s="20">
        <v>55000</v>
      </c>
      <c r="K58" s="322">
        <f t="shared" si="10"/>
        <v>55000</v>
      </c>
      <c r="L58" s="375">
        <v>18838.5</v>
      </c>
      <c r="M58" s="393">
        <v>60000</v>
      </c>
    </row>
    <row r="59" spans="1:13" s="13" customFormat="1" ht="14.65" thickBot="1" x14ac:dyDescent="0.5">
      <c r="A59" s="51"/>
      <c r="B59" s="318">
        <v>8.9</v>
      </c>
      <c r="C59" s="224"/>
      <c r="D59" s="225" t="s">
        <v>110</v>
      </c>
      <c r="E59" s="225" t="s">
        <v>111</v>
      </c>
      <c r="F59" s="281"/>
      <c r="G59" s="282">
        <v>7571</v>
      </c>
      <c r="H59" s="251"/>
      <c r="I59" s="226">
        <v>30000</v>
      </c>
      <c r="J59" s="227">
        <v>0</v>
      </c>
      <c r="K59" s="327">
        <f t="shared" si="10"/>
        <v>10000</v>
      </c>
      <c r="L59" s="381">
        <v>7571</v>
      </c>
      <c r="M59" s="399">
        <v>25000</v>
      </c>
    </row>
    <row r="60" spans="1:13" ht="14.65" thickBot="1" x14ac:dyDescent="0.5">
      <c r="A60" s="4">
        <v>9</v>
      </c>
      <c r="B60" s="339"/>
      <c r="C60" s="223"/>
      <c r="D60" s="10" t="s">
        <v>112</v>
      </c>
      <c r="E60" s="10" t="s">
        <v>113</v>
      </c>
      <c r="F60" s="283">
        <v>55000</v>
      </c>
      <c r="G60" s="284"/>
      <c r="H60" s="252"/>
      <c r="I60" s="111">
        <f t="shared" ref="I60:M60" si="11">SUM(I61:I62)</f>
        <v>0</v>
      </c>
      <c r="J60" s="209">
        <f t="shared" si="11"/>
        <v>0</v>
      </c>
      <c r="K60" s="328">
        <f t="shared" si="11"/>
        <v>0</v>
      </c>
      <c r="L60" s="382"/>
      <c r="M60" s="400">
        <f t="shared" si="11"/>
        <v>0</v>
      </c>
    </row>
    <row r="61" spans="1:13" s="3" customFormat="1" ht="12.75" x14ac:dyDescent="0.35">
      <c r="A61" s="62"/>
      <c r="B61" s="309" t="s">
        <v>114</v>
      </c>
      <c r="C61" s="33"/>
      <c r="D61" s="61" t="s">
        <v>115</v>
      </c>
      <c r="E61" s="61" t="s">
        <v>116</v>
      </c>
      <c r="F61" s="268">
        <v>55000</v>
      </c>
      <c r="G61" s="269"/>
      <c r="H61" s="250"/>
      <c r="I61" s="34">
        <v>0</v>
      </c>
      <c r="J61" s="20">
        <v>0</v>
      </c>
      <c r="K61" s="322">
        <f t="shared" ref="K61:K62" si="12">(I61/12*4)+(J61/12*8)</f>
        <v>0</v>
      </c>
      <c r="L61" s="375"/>
      <c r="M61" s="393">
        <v>0</v>
      </c>
    </row>
    <row r="62" spans="1:13" s="3" customFormat="1" ht="13.15" thickBot="1" x14ac:dyDescent="0.4">
      <c r="A62" s="62"/>
      <c r="B62" s="309" t="s">
        <v>117</v>
      </c>
      <c r="C62" s="33"/>
      <c r="D62" s="61" t="s">
        <v>118</v>
      </c>
      <c r="E62" s="61" t="s">
        <v>119</v>
      </c>
      <c r="F62" s="268"/>
      <c r="G62" s="269"/>
      <c r="H62" s="250"/>
      <c r="I62" s="34">
        <v>0</v>
      </c>
      <c r="J62" s="20">
        <v>0</v>
      </c>
      <c r="K62" s="322">
        <f t="shared" si="12"/>
        <v>0</v>
      </c>
      <c r="L62" s="375"/>
      <c r="M62" s="393">
        <v>0</v>
      </c>
    </row>
    <row r="63" spans="1:13" s="3" customFormat="1" ht="13.15" thickBot="1" x14ac:dyDescent="0.4">
      <c r="A63" s="4">
        <v>10</v>
      </c>
      <c r="B63" s="300"/>
      <c r="C63" s="44"/>
      <c r="D63" s="7" t="s">
        <v>120</v>
      </c>
      <c r="E63" s="7" t="s">
        <v>121</v>
      </c>
      <c r="F63" s="270">
        <v>861400</v>
      </c>
      <c r="G63" s="271">
        <v>658984.92000000004</v>
      </c>
      <c r="H63" s="242"/>
      <c r="I63" s="40">
        <f t="shared" ref="I63:M63" si="13">SUM(I64:I65)</f>
        <v>861929.6</v>
      </c>
      <c r="J63" s="202">
        <f t="shared" si="13"/>
        <v>862035.52</v>
      </c>
      <c r="K63" s="323">
        <f t="shared" si="13"/>
        <v>862000.21333333338</v>
      </c>
      <c r="L63" s="376">
        <v>760390.94</v>
      </c>
      <c r="M63" s="394">
        <f t="shared" si="13"/>
        <v>847000</v>
      </c>
    </row>
    <row r="64" spans="1:13" s="3" customFormat="1" ht="12.75" x14ac:dyDescent="0.35">
      <c r="A64" s="2"/>
      <c r="B64" s="309">
        <v>10.1</v>
      </c>
      <c r="C64" s="33"/>
      <c r="D64" s="61" t="s">
        <v>122</v>
      </c>
      <c r="E64" s="61" t="s">
        <v>123</v>
      </c>
      <c r="F64" s="268">
        <v>425000</v>
      </c>
      <c r="G64" s="269">
        <v>366764.52</v>
      </c>
      <c r="H64" s="250"/>
      <c r="I64" s="48">
        <v>420586.66666666669</v>
      </c>
      <c r="J64" s="207">
        <v>419704</v>
      </c>
      <c r="K64" s="322">
        <f t="shared" ref="K64:K65" si="14">(I64/12*4)+(J64/12*8)</f>
        <v>419998.22222222225</v>
      </c>
      <c r="L64" s="375">
        <v>366764.52</v>
      </c>
      <c r="M64" s="393">
        <v>367000</v>
      </c>
    </row>
    <row r="65" spans="1:13" s="3" customFormat="1" ht="13.15" thickBot="1" x14ac:dyDescent="0.4">
      <c r="A65" s="2"/>
      <c r="B65" s="309">
        <v>10.199999999999999</v>
      </c>
      <c r="C65" s="33"/>
      <c r="D65" s="61" t="s">
        <v>124</v>
      </c>
      <c r="E65" s="61" t="s">
        <v>125</v>
      </c>
      <c r="F65" s="268">
        <v>436400</v>
      </c>
      <c r="G65" s="269">
        <v>292220.40000000002</v>
      </c>
      <c r="H65" s="250"/>
      <c r="I65" s="48">
        <v>441342.93333333329</v>
      </c>
      <c r="J65" s="207">
        <v>442331.51999999996</v>
      </c>
      <c r="K65" s="322">
        <f t="shared" si="14"/>
        <v>442001.99111111113</v>
      </c>
      <c r="L65" s="375">
        <v>393626.42</v>
      </c>
      <c r="M65" s="393">
        <v>480000</v>
      </c>
    </row>
    <row r="66" spans="1:13" ht="14.65" thickBot="1" x14ac:dyDescent="0.5">
      <c r="A66" s="4">
        <v>11</v>
      </c>
      <c r="B66" s="300"/>
      <c r="C66" s="44"/>
      <c r="D66" s="7" t="s">
        <v>126</v>
      </c>
      <c r="E66" s="7" t="s">
        <v>127</v>
      </c>
      <c r="F66" s="270">
        <v>182000</v>
      </c>
      <c r="G66" s="271">
        <v>185564</v>
      </c>
      <c r="H66" s="242"/>
      <c r="I66" s="40">
        <f t="shared" ref="I66:M66" si="15">SUM(I67:I71)</f>
        <v>182000</v>
      </c>
      <c r="J66" s="202">
        <f t="shared" si="15"/>
        <v>182000</v>
      </c>
      <c r="K66" s="323">
        <f t="shared" si="15"/>
        <v>182000</v>
      </c>
      <c r="L66" s="376">
        <v>172097</v>
      </c>
      <c r="M66" s="394">
        <f t="shared" si="15"/>
        <v>262000</v>
      </c>
    </row>
    <row r="67" spans="1:13" x14ac:dyDescent="0.45">
      <c r="A67" s="12"/>
      <c r="B67" s="298">
        <v>11.1</v>
      </c>
      <c r="C67" s="33"/>
      <c r="D67" s="63" t="s">
        <v>128</v>
      </c>
      <c r="E67" s="1" t="s">
        <v>129</v>
      </c>
      <c r="F67" s="268">
        <v>20000</v>
      </c>
      <c r="G67" s="269">
        <v>3934</v>
      </c>
      <c r="H67" s="238"/>
      <c r="I67" s="34">
        <v>20000</v>
      </c>
      <c r="J67" s="20">
        <v>20000</v>
      </c>
      <c r="K67" s="322">
        <f t="shared" ref="K67:K69" si="16">(I67/12*4)+(J67/12*8)</f>
        <v>20000</v>
      </c>
      <c r="L67" s="375">
        <v>6503.55</v>
      </c>
      <c r="M67" s="393">
        <v>20000</v>
      </c>
    </row>
    <row r="68" spans="1:13" x14ac:dyDescent="0.45">
      <c r="A68" s="12"/>
      <c r="B68" s="298">
        <v>11.2</v>
      </c>
      <c r="C68" s="33"/>
      <c r="D68" s="1" t="s">
        <v>130</v>
      </c>
      <c r="E68" s="1" t="s">
        <v>131</v>
      </c>
      <c r="F68" s="268">
        <v>160000</v>
      </c>
      <c r="G68" s="269">
        <v>181630</v>
      </c>
      <c r="H68" s="238"/>
      <c r="I68" s="34">
        <v>160000</v>
      </c>
      <c r="J68" s="20">
        <v>160000</v>
      </c>
      <c r="K68" s="322">
        <f t="shared" si="16"/>
        <v>160000</v>
      </c>
      <c r="L68" s="375">
        <v>165593.68</v>
      </c>
      <c r="M68" s="393">
        <v>240000</v>
      </c>
    </row>
    <row r="69" spans="1:13" x14ac:dyDescent="0.45">
      <c r="A69" s="12"/>
      <c r="B69" s="298">
        <v>11.3</v>
      </c>
      <c r="C69" s="33"/>
      <c r="D69" s="1" t="s">
        <v>132</v>
      </c>
      <c r="E69" s="1" t="s">
        <v>133</v>
      </c>
      <c r="F69" s="268">
        <v>2000</v>
      </c>
      <c r="G69" s="269"/>
      <c r="H69" s="238"/>
      <c r="I69" s="34">
        <v>2000</v>
      </c>
      <c r="J69" s="20">
        <v>2000</v>
      </c>
      <c r="K69" s="322">
        <f t="shared" si="16"/>
        <v>2000</v>
      </c>
      <c r="L69" s="375"/>
      <c r="M69" s="393">
        <v>2000</v>
      </c>
    </row>
    <row r="70" spans="1:13" x14ac:dyDescent="0.45">
      <c r="A70" s="12"/>
      <c r="B70" s="298">
        <v>11.4</v>
      </c>
      <c r="C70" s="33"/>
      <c r="D70" s="1" t="s">
        <v>134</v>
      </c>
      <c r="E70" s="1" t="s">
        <v>135</v>
      </c>
      <c r="F70" s="272"/>
      <c r="G70" s="273"/>
      <c r="H70" s="238"/>
      <c r="I70" s="197" t="s">
        <v>136</v>
      </c>
      <c r="J70" s="203" t="s">
        <v>136</v>
      </c>
      <c r="K70" s="324">
        <v>0</v>
      </c>
      <c r="L70" s="377"/>
      <c r="M70" s="395">
        <v>0</v>
      </c>
    </row>
    <row r="71" spans="1:13" ht="14.65" thickBot="1" x14ac:dyDescent="0.5">
      <c r="A71" s="12"/>
      <c r="B71" s="298">
        <v>11.5</v>
      </c>
      <c r="C71" s="33"/>
      <c r="D71" s="1" t="s">
        <v>137</v>
      </c>
      <c r="E71" s="1" t="s">
        <v>138</v>
      </c>
      <c r="F71" s="272"/>
      <c r="G71" s="273"/>
      <c r="H71" s="238"/>
      <c r="I71" s="197" t="s">
        <v>136</v>
      </c>
      <c r="J71" s="203" t="s">
        <v>136</v>
      </c>
      <c r="K71" s="324">
        <v>0</v>
      </c>
      <c r="L71" s="377"/>
      <c r="M71" s="395">
        <v>0</v>
      </c>
    </row>
    <row r="72" spans="1:13" ht="14.65" thickBot="1" x14ac:dyDescent="0.5">
      <c r="A72" s="4">
        <v>12</v>
      </c>
      <c r="B72" s="300"/>
      <c r="C72" s="44"/>
      <c r="D72" s="7" t="s">
        <v>62</v>
      </c>
      <c r="E72" s="7" t="s">
        <v>63</v>
      </c>
      <c r="F72" s="270">
        <v>180000</v>
      </c>
      <c r="G72" s="271">
        <v>4619.6899999999996</v>
      </c>
      <c r="H72" s="242"/>
      <c r="I72" s="40">
        <f t="shared" ref="I72:M72" si="17">SUM(I73:I78)</f>
        <v>292000</v>
      </c>
      <c r="J72" s="202">
        <f t="shared" si="17"/>
        <v>292000</v>
      </c>
      <c r="K72" s="323">
        <f t="shared" si="17"/>
        <v>292000</v>
      </c>
      <c r="L72" s="376">
        <v>119161.58</v>
      </c>
      <c r="M72" s="394">
        <f t="shared" si="17"/>
        <v>309000</v>
      </c>
    </row>
    <row r="73" spans="1:13" x14ac:dyDescent="0.45">
      <c r="A73" s="12"/>
      <c r="B73" s="298">
        <v>12.1</v>
      </c>
      <c r="C73" s="33"/>
      <c r="D73" s="1" t="s">
        <v>139</v>
      </c>
      <c r="E73" s="64" t="s">
        <v>140</v>
      </c>
      <c r="F73" s="268">
        <v>75000</v>
      </c>
      <c r="G73" s="269">
        <v>3716.13</v>
      </c>
      <c r="H73" s="246"/>
      <c r="I73" s="34">
        <v>100000</v>
      </c>
      <c r="J73" s="20">
        <v>100000</v>
      </c>
      <c r="K73" s="322">
        <f t="shared" ref="K73:K78" si="18">(I73/12*4)+(J73/12*8)</f>
        <v>100000</v>
      </c>
      <c r="L73" s="375">
        <v>6488.61</v>
      </c>
      <c r="M73" s="393">
        <v>105000</v>
      </c>
    </row>
    <row r="74" spans="1:13" x14ac:dyDescent="0.45">
      <c r="A74" s="12"/>
      <c r="B74" s="298">
        <v>12.2</v>
      </c>
      <c r="C74" s="33"/>
      <c r="D74" s="1" t="s">
        <v>141</v>
      </c>
      <c r="E74" s="64" t="s">
        <v>142</v>
      </c>
      <c r="F74" s="268">
        <v>50000</v>
      </c>
      <c r="G74" s="285">
        <v>-5505.9400000000005</v>
      </c>
      <c r="H74" s="246"/>
      <c r="I74" s="34">
        <v>70000</v>
      </c>
      <c r="J74" s="20">
        <v>70000</v>
      </c>
      <c r="K74" s="322">
        <f t="shared" si="18"/>
        <v>70000</v>
      </c>
      <c r="L74" s="375">
        <v>8670.39</v>
      </c>
      <c r="M74" s="393">
        <v>74000</v>
      </c>
    </row>
    <row r="75" spans="1:13" x14ac:dyDescent="0.45">
      <c r="A75" s="12"/>
      <c r="B75" s="298">
        <v>12.3</v>
      </c>
      <c r="C75" s="33"/>
      <c r="D75" s="14" t="s">
        <v>143</v>
      </c>
      <c r="E75" s="221" t="s">
        <v>144</v>
      </c>
      <c r="F75" s="268">
        <v>20000</v>
      </c>
      <c r="G75" s="269"/>
      <c r="H75" s="246"/>
      <c r="I75" s="34">
        <v>30000</v>
      </c>
      <c r="J75" s="20">
        <v>30000</v>
      </c>
      <c r="K75" s="322">
        <f t="shared" si="18"/>
        <v>30000</v>
      </c>
      <c r="L75" s="375">
        <v>10877.87</v>
      </c>
      <c r="M75" s="393">
        <v>32000</v>
      </c>
    </row>
    <row r="76" spans="1:13" x14ac:dyDescent="0.45">
      <c r="A76" s="12"/>
      <c r="B76" s="298">
        <v>12.4</v>
      </c>
      <c r="C76" s="33"/>
      <c r="D76" s="14" t="s">
        <v>145</v>
      </c>
      <c r="E76" s="221" t="s">
        <v>146</v>
      </c>
      <c r="F76" s="268"/>
      <c r="G76" s="269">
        <v>1361.9</v>
      </c>
      <c r="H76" s="246"/>
      <c r="I76" s="48">
        <v>12000</v>
      </c>
      <c r="J76" s="207">
        <v>12000</v>
      </c>
      <c r="K76" s="322">
        <f t="shared" si="18"/>
        <v>12000</v>
      </c>
      <c r="L76" s="375">
        <v>1361.9</v>
      </c>
      <c r="M76" s="393">
        <v>13000</v>
      </c>
    </row>
    <row r="77" spans="1:13" x14ac:dyDescent="0.45">
      <c r="A77" s="12"/>
      <c r="B77" s="298">
        <v>12.5</v>
      </c>
      <c r="C77" s="33"/>
      <c r="D77" s="14" t="s">
        <v>147</v>
      </c>
      <c r="E77" s="221" t="s">
        <v>148</v>
      </c>
      <c r="F77" s="268">
        <v>35000</v>
      </c>
      <c r="G77" s="269">
        <v>3482.43</v>
      </c>
      <c r="H77" s="246"/>
      <c r="I77" s="48">
        <v>50000</v>
      </c>
      <c r="J77" s="207">
        <v>50000</v>
      </c>
      <c r="K77" s="322">
        <f t="shared" si="18"/>
        <v>50000</v>
      </c>
      <c r="L77" s="375">
        <v>47881.87</v>
      </c>
      <c r="M77" s="393">
        <v>53000</v>
      </c>
    </row>
    <row r="78" spans="1:13" ht="14.65" thickBot="1" x14ac:dyDescent="0.5">
      <c r="A78" s="12"/>
      <c r="B78" s="302">
        <v>12.6</v>
      </c>
      <c r="C78" s="49"/>
      <c r="D78" s="228" t="s">
        <v>149</v>
      </c>
      <c r="E78" s="229" t="s">
        <v>150</v>
      </c>
      <c r="F78" s="286"/>
      <c r="G78" s="287">
        <v>1565.17</v>
      </c>
      <c r="H78" s="253"/>
      <c r="I78" s="198">
        <v>30000</v>
      </c>
      <c r="J78" s="208">
        <v>30000</v>
      </c>
      <c r="K78" s="329">
        <f t="shared" si="18"/>
        <v>30000</v>
      </c>
      <c r="L78" s="383">
        <v>43880.94</v>
      </c>
      <c r="M78" s="401">
        <v>32000</v>
      </c>
    </row>
    <row r="79" spans="1:13" ht="14.65" thickBot="1" x14ac:dyDescent="0.5">
      <c r="A79" s="4">
        <v>13</v>
      </c>
      <c r="B79" s="339"/>
      <c r="C79" s="223"/>
      <c r="D79" s="10" t="s">
        <v>151</v>
      </c>
      <c r="E79" s="10" t="s">
        <v>152</v>
      </c>
      <c r="F79" s="283">
        <v>550000</v>
      </c>
      <c r="G79" s="284">
        <v>441120.18</v>
      </c>
      <c r="H79" s="252"/>
      <c r="I79" s="111">
        <f>SUM(I80:I93)</f>
        <v>730000</v>
      </c>
      <c r="J79" s="209">
        <f>SUM(J80:J93)</f>
        <v>680000</v>
      </c>
      <c r="K79" s="328">
        <f>SUM(K80:K93)</f>
        <v>696666.66666666663</v>
      </c>
      <c r="L79" s="382">
        <v>517462.63</v>
      </c>
      <c r="M79" s="400">
        <f>SUM(M80:M93)</f>
        <v>765000</v>
      </c>
    </row>
    <row r="80" spans="1:13" x14ac:dyDescent="0.45">
      <c r="A80" s="12"/>
      <c r="B80" s="298">
        <v>13.1</v>
      </c>
      <c r="C80" s="33"/>
      <c r="D80" s="1" t="s">
        <v>153</v>
      </c>
      <c r="E80" s="1" t="s">
        <v>154</v>
      </c>
      <c r="F80" s="268">
        <v>60000</v>
      </c>
      <c r="G80" s="269">
        <v>13162.34</v>
      </c>
      <c r="H80" s="238"/>
      <c r="I80" s="34">
        <v>100000</v>
      </c>
      <c r="J80" s="20">
        <v>100000</v>
      </c>
      <c r="K80" s="322">
        <f t="shared" ref="K80:K93" si="19">(I80/12*4)+(J80/12*8)</f>
        <v>100000</v>
      </c>
      <c r="L80" s="375">
        <v>42044.81</v>
      </c>
      <c r="M80" s="393">
        <v>100000</v>
      </c>
    </row>
    <row r="81" spans="1:13" x14ac:dyDescent="0.45">
      <c r="A81" s="12"/>
      <c r="B81" s="298">
        <v>13.2</v>
      </c>
      <c r="C81" s="42"/>
      <c r="D81" s="1" t="s">
        <v>155</v>
      </c>
      <c r="E81" s="1" t="s">
        <v>156</v>
      </c>
      <c r="F81" s="268">
        <v>150000</v>
      </c>
      <c r="G81" s="269">
        <v>194758.67</v>
      </c>
      <c r="H81" s="238"/>
      <c r="I81" s="34">
        <v>200000</v>
      </c>
      <c r="J81" s="20">
        <v>200000</v>
      </c>
      <c r="K81" s="322">
        <f t="shared" si="19"/>
        <v>200000</v>
      </c>
      <c r="L81" s="375">
        <v>233491.59</v>
      </c>
      <c r="M81" s="393">
        <v>215000</v>
      </c>
    </row>
    <row r="82" spans="1:13" x14ac:dyDescent="0.45">
      <c r="A82" s="12"/>
      <c r="B82" s="298">
        <v>13.3</v>
      </c>
      <c r="C82" s="33"/>
      <c r="D82" s="1" t="s">
        <v>157</v>
      </c>
      <c r="E82" s="1" t="s">
        <v>158</v>
      </c>
      <c r="F82" s="268">
        <v>45000</v>
      </c>
      <c r="G82" s="269">
        <v>25999.159999999996</v>
      </c>
      <c r="H82" s="238"/>
      <c r="I82" s="34">
        <v>50000</v>
      </c>
      <c r="J82" s="20">
        <v>50000</v>
      </c>
      <c r="K82" s="322">
        <f t="shared" si="19"/>
        <v>50000</v>
      </c>
      <c r="L82" s="375">
        <v>34671.730000000003</v>
      </c>
      <c r="M82" s="393">
        <v>50000</v>
      </c>
    </row>
    <row r="83" spans="1:13" x14ac:dyDescent="0.45">
      <c r="A83" s="12"/>
      <c r="B83" s="298">
        <v>13.4</v>
      </c>
      <c r="C83" s="33"/>
      <c r="D83" s="1" t="s">
        <v>159</v>
      </c>
      <c r="E83" s="1" t="s">
        <v>160</v>
      </c>
      <c r="F83" s="268">
        <v>15000</v>
      </c>
      <c r="G83" s="269">
        <v>16929.849999999999</v>
      </c>
      <c r="H83" s="238"/>
      <c r="I83" s="34">
        <v>15000</v>
      </c>
      <c r="J83" s="20">
        <v>15000</v>
      </c>
      <c r="K83" s="322">
        <f t="shared" si="19"/>
        <v>15000</v>
      </c>
      <c r="L83" s="375">
        <v>13421.35</v>
      </c>
      <c r="M83" s="393">
        <v>15000</v>
      </c>
    </row>
    <row r="84" spans="1:13" x14ac:dyDescent="0.45">
      <c r="A84" s="12"/>
      <c r="B84" s="298">
        <v>13.5</v>
      </c>
      <c r="C84" s="33"/>
      <c r="D84" s="1" t="s">
        <v>623</v>
      </c>
      <c r="E84" s="1" t="s">
        <v>623</v>
      </c>
      <c r="F84" s="268"/>
      <c r="G84" s="269"/>
      <c r="H84" s="238"/>
      <c r="I84" s="34"/>
      <c r="J84" s="20"/>
      <c r="K84" s="322"/>
      <c r="L84" s="377">
        <v>391.17</v>
      </c>
      <c r="M84" s="393"/>
    </row>
    <row r="85" spans="1:13" x14ac:dyDescent="0.45">
      <c r="A85" s="12"/>
      <c r="B85" s="298">
        <v>13.6</v>
      </c>
      <c r="C85" s="33"/>
      <c r="D85" s="1" t="s">
        <v>161</v>
      </c>
      <c r="E85" s="1" t="s">
        <v>65</v>
      </c>
      <c r="F85" s="272">
        <v>125000</v>
      </c>
      <c r="G85" s="273">
        <v>49619.310000000005</v>
      </c>
      <c r="H85" s="238"/>
      <c r="I85" s="197">
        <v>130000</v>
      </c>
      <c r="J85" s="203">
        <v>130000</v>
      </c>
      <c r="K85" s="324">
        <f t="shared" si="19"/>
        <v>130000</v>
      </c>
      <c r="L85" s="375">
        <v>43745.65</v>
      </c>
      <c r="M85" s="395">
        <v>130000</v>
      </c>
    </row>
    <row r="86" spans="1:13" x14ac:dyDescent="0.45">
      <c r="A86" s="12"/>
      <c r="B86" s="298">
        <v>13.7</v>
      </c>
      <c r="C86" s="33"/>
      <c r="D86" s="1" t="s">
        <v>162</v>
      </c>
      <c r="E86" s="1" t="s">
        <v>163</v>
      </c>
      <c r="F86" s="268">
        <v>5000</v>
      </c>
      <c r="G86" s="269">
        <f>163.45+95</f>
        <v>258.45</v>
      </c>
      <c r="H86" s="238"/>
      <c r="I86" s="34">
        <v>5000</v>
      </c>
      <c r="J86" s="20">
        <v>5000</v>
      </c>
      <c r="K86" s="322">
        <f t="shared" si="19"/>
        <v>5000</v>
      </c>
      <c r="L86" s="375">
        <v>99.67</v>
      </c>
      <c r="M86" s="393">
        <v>5000</v>
      </c>
    </row>
    <row r="87" spans="1:13" x14ac:dyDescent="0.45">
      <c r="A87" s="12"/>
      <c r="B87" s="298">
        <v>13.8</v>
      </c>
      <c r="C87" s="33"/>
      <c r="D87" s="1" t="s">
        <v>624</v>
      </c>
      <c r="E87" s="1" t="s">
        <v>625</v>
      </c>
      <c r="F87" s="268">
        <v>10000</v>
      </c>
      <c r="G87" s="269">
        <v>35388.729999999996</v>
      </c>
      <c r="H87" s="238"/>
      <c r="I87" s="34">
        <v>10000</v>
      </c>
      <c r="J87" s="20">
        <v>10000</v>
      </c>
      <c r="K87" s="322">
        <f t="shared" si="19"/>
        <v>10000</v>
      </c>
      <c r="L87" s="375">
        <v>33384.81</v>
      </c>
      <c r="M87" s="393">
        <v>10000</v>
      </c>
    </row>
    <row r="88" spans="1:13" x14ac:dyDescent="0.45">
      <c r="A88" s="12"/>
      <c r="B88" s="298">
        <v>13.9</v>
      </c>
      <c r="C88" s="33"/>
      <c r="D88" s="1" t="s">
        <v>164</v>
      </c>
      <c r="E88" s="1" t="s">
        <v>165</v>
      </c>
      <c r="F88" s="268">
        <v>20000</v>
      </c>
      <c r="G88" s="269">
        <v>17417.75</v>
      </c>
      <c r="H88" s="238"/>
      <c r="I88" s="34">
        <v>20000</v>
      </c>
      <c r="J88" s="20">
        <v>20000</v>
      </c>
      <c r="K88" s="322">
        <f t="shared" si="19"/>
        <v>20000</v>
      </c>
      <c r="L88" s="375">
        <v>49725.25</v>
      </c>
      <c r="M88" s="393">
        <v>60000</v>
      </c>
    </row>
    <row r="89" spans="1:13" x14ac:dyDescent="0.45">
      <c r="A89" s="12"/>
      <c r="B89" s="301" t="s">
        <v>166</v>
      </c>
      <c r="C89" s="33"/>
      <c r="D89" s="1" t="s">
        <v>167</v>
      </c>
      <c r="E89" s="64" t="s">
        <v>168</v>
      </c>
      <c r="F89" s="268">
        <v>15000</v>
      </c>
      <c r="G89" s="269"/>
      <c r="H89" s="246"/>
      <c r="I89" s="34">
        <v>15000</v>
      </c>
      <c r="J89" s="20">
        <v>15000</v>
      </c>
      <c r="K89" s="322">
        <f t="shared" si="19"/>
        <v>15000</v>
      </c>
      <c r="L89" s="367"/>
      <c r="M89" s="393">
        <v>15000</v>
      </c>
    </row>
    <row r="90" spans="1:13" x14ac:dyDescent="0.45">
      <c r="A90" s="12"/>
      <c r="B90" s="301">
        <v>13.11</v>
      </c>
      <c r="C90" s="33"/>
      <c r="D90" s="14" t="s">
        <v>169</v>
      </c>
      <c r="E90" s="1" t="s">
        <v>170</v>
      </c>
      <c r="F90" s="268">
        <v>20000</v>
      </c>
      <c r="G90" s="269">
        <v>9986.42</v>
      </c>
      <c r="H90" s="238"/>
      <c r="I90" s="34">
        <v>45000</v>
      </c>
      <c r="J90" s="20">
        <v>45000</v>
      </c>
      <c r="K90" s="322">
        <f t="shared" si="19"/>
        <v>45000</v>
      </c>
      <c r="L90" s="375">
        <v>9523.1200000000008</v>
      </c>
      <c r="M90" s="393">
        <v>45000</v>
      </c>
    </row>
    <row r="91" spans="1:13" x14ac:dyDescent="0.45">
      <c r="A91" s="12"/>
      <c r="B91" s="301">
        <v>13.13</v>
      </c>
      <c r="C91" s="33"/>
      <c r="D91" s="14" t="s">
        <v>171</v>
      </c>
      <c r="E91" s="1" t="s">
        <v>172</v>
      </c>
      <c r="F91" s="268">
        <v>80000</v>
      </c>
      <c r="G91" s="269">
        <v>16814.650000000001</v>
      </c>
      <c r="H91" s="238"/>
      <c r="I91" s="34">
        <v>10000</v>
      </c>
      <c r="J91" s="20">
        <v>10000</v>
      </c>
      <c r="K91" s="322">
        <f t="shared" si="19"/>
        <v>10000</v>
      </c>
      <c r="L91" s="375">
        <v>28950.28</v>
      </c>
      <c r="M91" s="393">
        <v>20000</v>
      </c>
    </row>
    <row r="92" spans="1:13" x14ac:dyDescent="0.45">
      <c r="A92" s="12"/>
      <c r="B92" s="301">
        <v>13.14</v>
      </c>
      <c r="C92" s="33"/>
      <c r="D92" s="14" t="s">
        <v>173</v>
      </c>
      <c r="E92" s="1" t="s">
        <v>174</v>
      </c>
      <c r="F92" s="268"/>
      <c r="G92" s="269">
        <v>60654.71</v>
      </c>
      <c r="H92" s="238"/>
      <c r="I92" s="34">
        <v>80000</v>
      </c>
      <c r="J92" s="20">
        <v>80000</v>
      </c>
      <c r="K92" s="322">
        <f t="shared" si="19"/>
        <v>80000</v>
      </c>
      <c r="L92" s="375"/>
      <c r="M92" s="393">
        <v>50000</v>
      </c>
    </row>
    <row r="93" spans="1:13" ht="14.65" thickBot="1" x14ac:dyDescent="0.5">
      <c r="A93" s="12"/>
      <c r="B93" s="301">
        <v>13.15</v>
      </c>
      <c r="C93" s="33"/>
      <c r="D93" s="14" t="s">
        <v>175</v>
      </c>
      <c r="E93" s="1" t="s">
        <v>176</v>
      </c>
      <c r="F93" s="268"/>
      <c r="G93" s="269"/>
      <c r="H93" s="238"/>
      <c r="I93" s="34">
        <v>50000</v>
      </c>
      <c r="J93" s="20">
        <v>0</v>
      </c>
      <c r="K93" s="322">
        <f t="shared" si="19"/>
        <v>16666.666666666668</v>
      </c>
      <c r="L93" s="375">
        <v>28013.22</v>
      </c>
      <c r="M93" s="393">
        <v>50000</v>
      </c>
    </row>
    <row r="94" spans="1:13" ht="14.65" thickBot="1" x14ac:dyDescent="0.5">
      <c r="A94" s="4">
        <v>14</v>
      </c>
      <c r="B94" s="300"/>
      <c r="C94" s="39"/>
      <c r="D94" s="7" t="s">
        <v>177</v>
      </c>
      <c r="E94" s="7" t="s">
        <v>178</v>
      </c>
      <c r="F94" s="270">
        <v>150000</v>
      </c>
      <c r="G94" s="271">
        <v>194008</v>
      </c>
      <c r="H94" s="242"/>
      <c r="I94" s="40">
        <v>320000</v>
      </c>
      <c r="J94" s="202">
        <v>320000</v>
      </c>
      <c r="K94" s="323">
        <f>(I94/12*4)+(J94/12*8)</f>
        <v>320000</v>
      </c>
      <c r="L94" s="376">
        <v>255855.17</v>
      </c>
      <c r="M94" s="394">
        <v>350000</v>
      </c>
    </row>
    <row r="95" spans="1:13" ht="14.65" thickBot="1" x14ac:dyDescent="0.5">
      <c r="A95" s="4">
        <v>15</v>
      </c>
      <c r="B95" s="300"/>
      <c r="C95" s="39"/>
      <c r="D95" s="7" t="s">
        <v>179</v>
      </c>
      <c r="E95" s="7" t="s">
        <v>180</v>
      </c>
      <c r="F95" s="270">
        <v>275000</v>
      </c>
      <c r="G95" s="271">
        <v>178506.16</v>
      </c>
      <c r="H95" s="242"/>
      <c r="I95" s="40">
        <f>SUM(I96:I97)</f>
        <v>250000</v>
      </c>
      <c r="J95" s="202">
        <f>SUM(J96:J97)</f>
        <v>250000</v>
      </c>
      <c r="K95" s="323">
        <f>SUM(K96:K97)</f>
        <v>250000</v>
      </c>
      <c r="L95" s="376">
        <v>243709.48</v>
      </c>
      <c r="M95" s="394">
        <f>SUM(M96:M97)</f>
        <v>250000</v>
      </c>
    </row>
    <row r="96" spans="1:13" x14ac:dyDescent="0.45">
      <c r="A96" s="2"/>
      <c r="B96" s="301">
        <v>15.1</v>
      </c>
      <c r="C96" s="33"/>
      <c r="D96" s="1" t="s">
        <v>181</v>
      </c>
      <c r="E96" s="1" t="s">
        <v>182</v>
      </c>
      <c r="F96" s="275">
        <v>225000</v>
      </c>
      <c r="G96" s="276">
        <f>G95-2356</f>
        <v>176150.16</v>
      </c>
      <c r="H96" s="238"/>
      <c r="I96" s="47">
        <v>225000</v>
      </c>
      <c r="J96" s="204">
        <v>225000</v>
      </c>
      <c r="K96" s="319">
        <f t="shared" ref="K96:K97" si="20">(I96/12*4)+(J96/12*8)</f>
        <v>225000</v>
      </c>
      <c r="L96" s="370">
        <v>243182.55</v>
      </c>
      <c r="M96" s="396">
        <v>225000</v>
      </c>
    </row>
    <row r="97" spans="1:13" ht="14.65" thickBot="1" x14ac:dyDescent="0.5">
      <c r="A97" s="110"/>
      <c r="B97" s="302">
        <v>15.2</v>
      </c>
      <c r="C97" s="49"/>
      <c r="D97" s="50" t="s">
        <v>183</v>
      </c>
      <c r="E97" s="50" t="s">
        <v>184</v>
      </c>
      <c r="F97" s="286">
        <v>50000</v>
      </c>
      <c r="G97" s="287">
        <v>2356.16</v>
      </c>
      <c r="H97" s="254"/>
      <c r="I97" s="198">
        <v>25000</v>
      </c>
      <c r="J97" s="208">
        <v>25000</v>
      </c>
      <c r="K97" s="329">
        <f t="shared" si="20"/>
        <v>25000</v>
      </c>
      <c r="L97" s="383">
        <v>526.92999999999995</v>
      </c>
      <c r="M97" s="401">
        <v>25000</v>
      </c>
    </row>
    <row r="98" spans="1:13" ht="14.65" thickBot="1" x14ac:dyDescent="0.5">
      <c r="A98" s="110">
        <v>16</v>
      </c>
      <c r="B98" s="339"/>
      <c r="C98" s="49"/>
      <c r="D98" s="10" t="s">
        <v>185</v>
      </c>
      <c r="E98" s="10" t="s">
        <v>186</v>
      </c>
      <c r="F98" s="283">
        <v>155000</v>
      </c>
      <c r="G98" s="284">
        <v>41227.32</v>
      </c>
      <c r="H98" s="252"/>
      <c r="I98" s="111">
        <f t="shared" ref="I98:M98" si="21">SUM(I99:I100)</f>
        <v>155000</v>
      </c>
      <c r="J98" s="209">
        <f t="shared" si="21"/>
        <v>155000</v>
      </c>
      <c r="K98" s="328">
        <f t="shared" si="21"/>
        <v>155000</v>
      </c>
      <c r="L98" s="382">
        <v>56737.74</v>
      </c>
      <c r="M98" s="400">
        <f t="shared" si="21"/>
        <v>155000</v>
      </c>
    </row>
    <row r="99" spans="1:13" x14ac:dyDescent="0.45">
      <c r="A99" s="6"/>
      <c r="B99" s="304">
        <v>16.100000000000001</v>
      </c>
      <c r="C99" s="65"/>
      <c r="D99" s="46" t="s">
        <v>187</v>
      </c>
      <c r="E99" s="46" t="s">
        <v>188</v>
      </c>
      <c r="F99" s="275">
        <v>40000</v>
      </c>
      <c r="G99" s="276">
        <v>18000</v>
      </c>
      <c r="H99" s="255"/>
      <c r="I99" s="47">
        <v>40000</v>
      </c>
      <c r="J99" s="204">
        <v>40000</v>
      </c>
      <c r="K99" s="319">
        <f t="shared" ref="K99:K100" si="22">(I99/12*4)+(J99/12*8)</f>
        <v>40000</v>
      </c>
      <c r="L99" s="370">
        <v>27000</v>
      </c>
      <c r="M99" s="396">
        <v>40000</v>
      </c>
    </row>
    <row r="100" spans="1:13" ht="14.65" thickBot="1" x14ac:dyDescent="0.5">
      <c r="A100" s="2"/>
      <c r="B100" s="298">
        <v>16.2</v>
      </c>
      <c r="C100" s="33"/>
      <c r="D100" s="1" t="s">
        <v>189</v>
      </c>
      <c r="E100" s="1" t="s">
        <v>190</v>
      </c>
      <c r="F100" s="268">
        <v>115000</v>
      </c>
      <c r="G100" s="269">
        <v>23227.32</v>
      </c>
      <c r="H100" s="238"/>
      <c r="I100" s="48">
        <v>115000</v>
      </c>
      <c r="J100" s="207">
        <v>115000</v>
      </c>
      <c r="K100" s="322">
        <f t="shared" si="22"/>
        <v>115000</v>
      </c>
      <c r="L100" s="375">
        <v>29737.74</v>
      </c>
      <c r="M100" s="393">
        <v>115000</v>
      </c>
    </row>
    <row r="101" spans="1:13" ht="14.65" thickBot="1" x14ac:dyDescent="0.5">
      <c r="A101" s="4">
        <v>17</v>
      </c>
      <c r="B101" s="300"/>
      <c r="C101" s="39"/>
      <c r="D101" s="7" t="s">
        <v>191</v>
      </c>
      <c r="E101" s="7" t="s">
        <v>192</v>
      </c>
      <c r="F101" s="270">
        <v>2500</v>
      </c>
      <c r="G101" s="271">
        <v>2600</v>
      </c>
      <c r="H101" s="242"/>
      <c r="I101" s="40">
        <v>2500</v>
      </c>
      <c r="J101" s="202">
        <v>2500</v>
      </c>
      <c r="K101" s="323">
        <f>(I101/12*4)+(J101/12*8)</f>
        <v>2500</v>
      </c>
      <c r="L101" s="376">
        <v>2700</v>
      </c>
      <c r="M101" s="394">
        <v>2500</v>
      </c>
    </row>
    <row r="102" spans="1:13" ht="14.65" thickBot="1" x14ac:dyDescent="0.5">
      <c r="A102" s="66">
        <v>19</v>
      </c>
      <c r="B102" s="300"/>
      <c r="C102" s="39"/>
      <c r="D102" s="67" t="s">
        <v>193</v>
      </c>
      <c r="E102" s="7" t="s">
        <v>194</v>
      </c>
      <c r="F102" s="270">
        <v>650000</v>
      </c>
      <c r="G102" s="271"/>
      <c r="H102" s="242"/>
      <c r="I102" s="40">
        <f t="shared" ref="I102:M102" si="23">SUM(I103:I104)</f>
        <v>450000</v>
      </c>
      <c r="J102" s="202">
        <f t="shared" si="23"/>
        <v>450000</v>
      </c>
      <c r="K102" s="323">
        <f t="shared" si="23"/>
        <v>450000</v>
      </c>
      <c r="L102" s="376"/>
      <c r="M102" s="394">
        <f t="shared" si="23"/>
        <v>450000</v>
      </c>
    </row>
    <row r="103" spans="1:13" x14ac:dyDescent="0.45">
      <c r="A103" s="2"/>
      <c r="B103" s="298">
        <v>19.100000000000001</v>
      </c>
      <c r="C103" s="33"/>
      <c r="D103" s="64" t="s">
        <v>195</v>
      </c>
      <c r="E103" s="1" t="s">
        <v>196</v>
      </c>
      <c r="F103" s="268">
        <v>300000</v>
      </c>
      <c r="G103" s="269"/>
      <c r="H103" s="238"/>
      <c r="I103" s="48">
        <v>300000</v>
      </c>
      <c r="J103" s="207">
        <v>300000</v>
      </c>
      <c r="K103" s="322">
        <f t="shared" ref="K103:K104" si="24">(I103/12*4)+(J103/12*8)</f>
        <v>300000</v>
      </c>
      <c r="L103" s="375"/>
      <c r="M103" s="393">
        <v>300000</v>
      </c>
    </row>
    <row r="104" spans="1:13" x14ac:dyDescent="0.45">
      <c r="A104" s="2"/>
      <c r="B104" s="298">
        <v>19.2</v>
      </c>
      <c r="C104" s="33"/>
      <c r="D104" s="64" t="s">
        <v>197</v>
      </c>
      <c r="E104" s="1" t="s">
        <v>198</v>
      </c>
      <c r="F104" s="268">
        <v>150000</v>
      </c>
      <c r="G104" s="269"/>
      <c r="H104" s="238"/>
      <c r="I104" s="48">
        <v>150000</v>
      </c>
      <c r="J104" s="207">
        <v>150000</v>
      </c>
      <c r="K104" s="322">
        <f t="shared" si="24"/>
        <v>150000</v>
      </c>
      <c r="L104" s="375"/>
      <c r="M104" s="393">
        <v>150000</v>
      </c>
    </row>
    <row r="105" spans="1:13" x14ac:dyDescent="0.45">
      <c r="A105" s="2"/>
      <c r="B105" s="298">
        <v>19.3</v>
      </c>
      <c r="C105" s="33"/>
      <c r="D105" s="221" t="s">
        <v>199</v>
      </c>
      <c r="E105" s="14" t="s">
        <v>200</v>
      </c>
      <c r="F105" s="268">
        <v>200000</v>
      </c>
      <c r="G105" s="288"/>
      <c r="H105" s="237"/>
      <c r="I105" s="68"/>
      <c r="J105" s="210"/>
      <c r="K105" s="330"/>
      <c r="L105" s="384"/>
      <c r="M105" s="402"/>
    </row>
    <row r="106" spans="1:13" x14ac:dyDescent="0.45">
      <c r="A106" s="2"/>
      <c r="B106" s="298"/>
      <c r="C106" s="33"/>
      <c r="D106" s="221"/>
      <c r="E106" s="14"/>
      <c r="F106" s="268"/>
      <c r="G106" s="288"/>
      <c r="H106" s="237"/>
      <c r="I106" s="68"/>
      <c r="J106" s="210"/>
      <c r="K106" s="330"/>
      <c r="L106" s="384"/>
      <c r="M106" s="402"/>
    </row>
    <row r="107" spans="1:13" x14ac:dyDescent="0.45">
      <c r="A107" s="36" t="s">
        <v>201</v>
      </c>
      <c r="B107" s="340"/>
      <c r="C107" s="37"/>
      <c r="D107" s="1"/>
      <c r="E107" s="8" t="s">
        <v>202</v>
      </c>
      <c r="F107" s="289">
        <v>13156900</v>
      </c>
      <c r="G107" s="288">
        <v>9831516</v>
      </c>
      <c r="H107" s="256"/>
      <c r="I107" s="68">
        <f>+I102+I98+I95+I94+I101+I79+I72+I66+I63+I60+I50+I42+I32+I25+I24++I23+I16</f>
        <v>13980429.6</v>
      </c>
      <c r="J107" s="210">
        <f>+J102+J98+J95+J94+J101+J79+J72+J66+J63+J60+J50+J42+J32+J25+J24++J23+J16</f>
        <v>14400535.52</v>
      </c>
      <c r="K107" s="330">
        <f>+K102+K98+K95+K94+K101+K79+K72+K66+K63+K60+K50+K42+K32+K25+K24++K23+K16</f>
        <v>14260500.213333331</v>
      </c>
      <c r="L107" s="384">
        <f>+L102+L98+L95+L94+L101+L79+L72+L66+L63+L60+L50+L42+L32+L25+L24++L23+L16</f>
        <v>11017172.210000001</v>
      </c>
      <c r="M107" s="402">
        <f>+M102+M98+M95+M94+M101+M79+M72+M66+M63+M60+M50+M42+M32+M25+M24++M23+M16</f>
        <v>16310500</v>
      </c>
    </row>
    <row r="108" spans="1:13" x14ac:dyDescent="0.45">
      <c r="A108" s="36"/>
      <c r="B108" s="340"/>
      <c r="C108" s="37"/>
      <c r="D108" s="1"/>
      <c r="E108" s="8"/>
      <c r="F108" s="268"/>
      <c r="G108" s="288"/>
      <c r="H108" s="256"/>
      <c r="I108" s="48"/>
      <c r="J108" s="207"/>
      <c r="K108" s="322"/>
      <c r="L108" s="375"/>
      <c r="M108" s="393"/>
    </row>
    <row r="109" spans="1:13" x14ac:dyDescent="0.45">
      <c r="A109" s="36"/>
      <c r="B109" s="340"/>
      <c r="C109" s="37"/>
      <c r="D109" s="1" t="s">
        <v>203</v>
      </c>
      <c r="E109" s="1" t="s">
        <v>204</v>
      </c>
      <c r="F109" s="268"/>
      <c r="G109" s="288"/>
      <c r="H109" s="256"/>
      <c r="I109" s="48"/>
      <c r="J109" s="207"/>
      <c r="K109" s="322"/>
      <c r="L109" s="375"/>
      <c r="M109" s="393">
        <v>400000</v>
      </c>
    </row>
    <row r="110" spans="1:13" x14ac:dyDescent="0.45">
      <c r="A110" s="36"/>
      <c r="B110" s="340"/>
      <c r="C110" s="37"/>
      <c r="D110" s="1"/>
      <c r="E110" s="8"/>
      <c r="F110" s="268"/>
      <c r="G110" s="288"/>
      <c r="H110" s="256"/>
      <c r="I110" s="48"/>
      <c r="J110" s="207"/>
      <c r="K110" s="322"/>
      <c r="L110" s="375"/>
      <c r="M110" s="393"/>
    </row>
    <row r="111" spans="1:13" x14ac:dyDescent="0.45">
      <c r="A111" s="36" t="s">
        <v>205</v>
      </c>
      <c r="B111" s="340"/>
      <c r="C111" s="37"/>
      <c r="D111" s="1"/>
      <c r="E111" s="8"/>
      <c r="F111" s="290">
        <f>F10-F107</f>
        <v>-686900</v>
      </c>
      <c r="G111" s="291">
        <f>G10-G107</f>
        <v>2252395.4299999997</v>
      </c>
      <c r="H111" s="256"/>
      <c r="I111" s="199">
        <f>I10-I107</f>
        <v>-1334429.5999999996</v>
      </c>
      <c r="J111" s="211">
        <f>J10-J107</f>
        <v>-1834535.5199999996</v>
      </c>
      <c r="K111" s="331">
        <f>K10-K107</f>
        <v>-1667833.546666665</v>
      </c>
      <c r="L111" s="385">
        <f>L10-L107</f>
        <v>1356885.7899999991</v>
      </c>
      <c r="M111" s="403">
        <f>M10-M107-M109</f>
        <v>290900</v>
      </c>
    </row>
    <row r="112" spans="1:13" ht="14.65" thickBot="1" x14ac:dyDescent="0.5">
      <c r="A112" s="36"/>
      <c r="B112" s="340"/>
      <c r="C112" s="37"/>
      <c r="D112" s="1"/>
      <c r="E112" s="8"/>
      <c r="F112" s="268"/>
      <c r="G112" s="269"/>
      <c r="H112" s="256"/>
      <c r="I112" s="48"/>
      <c r="J112" s="207"/>
      <c r="K112" s="322"/>
      <c r="L112" s="375"/>
      <c r="M112" s="393"/>
    </row>
    <row r="113" spans="1:13" ht="14.65" thickBot="1" x14ac:dyDescent="0.5">
      <c r="A113" s="66">
        <v>20</v>
      </c>
      <c r="B113" s="300"/>
      <c r="C113" s="39"/>
      <c r="D113" s="67" t="s">
        <v>206</v>
      </c>
      <c r="E113" s="7" t="s">
        <v>207</v>
      </c>
      <c r="F113" s="270">
        <v>100000</v>
      </c>
      <c r="G113" s="271">
        <f>18932+32580+20912</f>
        <v>72424</v>
      </c>
      <c r="H113" s="242"/>
      <c r="I113" s="40">
        <v>250000</v>
      </c>
      <c r="J113" s="202">
        <v>300000</v>
      </c>
      <c r="K113" s="323">
        <f t="shared" ref="K113" si="25">(I113/12*4)+(J113/12*8)</f>
        <v>283333.33333333331</v>
      </c>
      <c r="L113" s="376">
        <f>34073.1+22953.81+25449.42</f>
        <v>82476.33</v>
      </c>
      <c r="M113" s="394">
        <v>290000</v>
      </c>
    </row>
    <row r="114" spans="1:13" x14ac:dyDescent="0.45">
      <c r="A114" s="36"/>
      <c r="B114" s="340"/>
      <c r="C114" s="37"/>
      <c r="D114" s="8"/>
      <c r="E114" s="8"/>
      <c r="F114" s="268"/>
      <c r="G114" s="269"/>
      <c r="H114" s="256"/>
      <c r="I114" s="48"/>
      <c r="J114" s="207"/>
      <c r="K114" s="322"/>
      <c r="L114" s="375"/>
      <c r="M114" s="393"/>
    </row>
    <row r="115" spans="1:13" ht="14.65" thickBot="1" x14ac:dyDescent="0.5">
      <c r="A115" s="8" t="s">
        <v>208</v>
      </c>
      <c r="B115" s="341"/>
      <c r="C115" s="37"/>
      <c r="D115" s="8"/>
      <c r="E115" s="8" t="s">
        <v>209</v>
      </c>
      <c r="F115" s="292">
        <f>F111-F113</f>
        <v>-786900</v>
      </c>
      <c r="G115" s="293">
        <v>2545227.39</v>
      </c>
      <c r="H115" s="256"/>
      <c r="I115" s="199">
        <f t="shared" ref="I115:M115" si="26">I111-I113</f>
        <v>-1584429.5999999996</v>
      </c>
      <c r="J115" s="211">
        <f t="shared" si="26"/>
        <v>-2134535.5199999996</v>
      </c>
      <c r="K115" s="332">
        <f t="shared" si="26"/>
        <v>-1951166.8799999983</v>
      </c>
      <c r="L115" s="386">
        <f t="shared" si="26"/>
        <v>1274409.459999999</v>
      </c>
      <c r="M115" s="404">
        <f t="shared" si="26"/>
        <v>900</v>
      </c>
    </row>
  </sheetData>
  <pageMargins left="0.23622047244094491" right="0.23622047244094491" top="0.74803149606299213" bottom="0.74803149606299213" header="0.31496062992125984" footer="0.31496062992125984"/>
  <pageSetup paperSize="3" fitToHeight="0" orientation="landscape" verticalDpi="4294967295" r:id="rId1"/>
  <headerFooter>
    <oddHeader>&amp;C&amp;"-,Bold"&amp;16&amp;K7030A0Association canadienne des employés professionnels / Canadian Association of Professional Employees</oddHeader>
    <oddFooter>&amp;R&amp;"-,Bold"&amp;8&amp;K7030A0&amp;P of &amp;N</oddFooter>
  </headerFooter>
  <ignoredErrors>
    <ignoredError sqref="M16 M79 M9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1C7-F128-44EB-AD66-5DAA8E1B8DDD}">
  <dimension ref="A1:I18"/>
  <sheetViews>
    <sheetView showGridLines="0" topLeftCell="B1" workbookViewId="0">
      <selection activeCell="G23" sqref="G23"/>
    </sheetView>
  </sheetViews>
  <sheetFormatPr defaultColWidth="11.3984375" defaultRowHeight="14.25" x14ac:dyDescent="0.45"/>
  <cols>
    <col min="2" max="2" width="14.265625" bestFit="1" customWidth="1"/>
    <col min="3" max="3" width="39.265625" customWidth="1"/>
    <col min="4" max="4" width="33.3984375" customWidth="1"/>
    <col min="5" max="5" width="14.265625" bestFit="1" customWidth="1"/>
    <col min="6" max="6" width="17.3984375" customWidth="1"/>
    <col min="7" max="7" width="84.73046875" customWidth="1"/>
    <col min="8" max="8" width="91.265625" customWidth="1"/>
    <col min="9" max="9" width="10.1328125" customWidth="1"/>
  </cols>
  <sheetData>
    <row r="1" spans="1:9" x14ac:dyDescent="0.45">
      <c r="A1" s="79" t="s">
        <v>404</v>
      </c>
      <c r="B1" s="79"/>
      <c r="C1" s="79"/>
      <c r="D1" s="79"/>
      <c r="E1" s="79"/>
      <c r="F1" s="79"/>
    </row>
    <row r="3" spans="1:9" ht="28.5" x14ac:dyDescent="0.45">
      <c r="B3" s="141" t="s">
        <v>211</v>
      </c>
      <c r="C3" s="141" t="s">
        <v>212</v>
      </c>
      <c r="D3" s="74">
        <v>2023</v>
      </c>
      <c r="E3" s="74" t="s">
        <v>8</v>
      </c>
      <c r="F3" s="74" t="s">
        <v>9</v>
      </c>
      <c r="G3" s="74" t="s">
        <v>213</v>
      </c>
      <c r="H3" s="74" t="s">
        <v>214</v>
      </c>
      <c r="I3" s="22"/>
    </row>
    <row r="4" spans="1:9" ht="57" x14ac:dyDescent="0.45">
      <c r="B4" s="72" t="s">
        <v>114</v>
      </c>
      <c r="C4" s="90" t="s">
        <v>405</v>
      </c>
      <c r="D4" s="344">
        <v>0</v>
      </c>
      <c r="E4" s="88">
        <v>0</v>
      </c>
      <c r="F4" s="88">
        <v>0</v>
      </c>
      <c r="G4" s="17" t="s">
        <v>406</v>
      </c>
      <c r="H4" s="17" t="s">
        <v>407</v>
      </c>
      <c r="I4" s="16"/>
    </row>
    <row r="5" spans="1:9" ht="106.5" customHeight="1" x14ac:dyDescent="0.45">
      <c r="B5" s="72" t="s">
        <v>117</v>
      </c>
      <c r="C5" s="72" t="s">
        <v>408</v>
      </c>
      <c r="D5" s="344">
        <v>0</v>
      </c>
      <c r="E5" s="88">
        <v>0</v>
      </c>
      <c r="F5" s="87">
        <v>0</v>
      </c>
      <c r="G5" s="17" t="s">
        <v>409</v>
      </c>
      <c r="H5" s="17" t="s">
        <v>410</v>
      </c>
      <c r="I5" s="16"/>
    </row>
    <row r="6" spans="1:9" x14ac:dyDescent="0.45">
      <c r="A6" s="29"/>
    </row>
    <row r="7" spans="1:9" x14ac:dyDescent="0.45">
      <c r="A7" s="28"/>
      <c r="B7" s="21"/>
    </row>
    <row r="8" spans="1:9" x14ac:dyDescent="0.45">
      <c r="A8" s="28"/>
    </row>
    <row r="9" spans="1:9" x14ac:dyDescent="0.45">
      <c r="A9" s="28"/>
    </row>
    <row r="10" spans="1:9" x14ac:dyDescent="0.45">
      <c r="A10" s="30"/>
      <c r="B10" s="21"/>
    </row>
    <row r="11" spans="1:9" x14ac:dyDescent="0.45">
      <c r="A11" s="31"/>
    </row>
    <row r="12" spans="1:9" x14ac:dyDescent="0.45">
      <c r="A12" s="31"/>
    </row>
    <row r="13" spans="1:9" x14ac:dyDescent="0.45">
      <c r="A13" s="32"/>
    </row>
    <row r="14" spans="1:9" x14ac:dyDescent="0.45">
      <c r="A14" s="31"/>
    </row>
    <row r="15" spans="1:9" x14ac:dyDescent="0.45">
      <c r="A15" s="30"/>
    </row>
    <row r="16" spans="1:9" x14ac:dyDescent="0.45">
      <c r="A16" s="31"/>
    </row>
    <row r="17" spans="1:1" x14ac:dyDescent="0.45">
      <c r="A17" s="31"/>
    </row>
    <row r="18" spans="1:1" x14ac:dyDescent="0.45">
      <c r="A18" s="3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5E62-F817-4B68-9A28-44533C36DBAF}">
  <dimension ref="A1:H35"/>
  <sheetViews>
    <sheetView showGridLines="0" workbookViewId="0">
      <selection activeCell="D4" sqref="D4"/>
    </sheetView>
  </sheetViews>
  <sheetFormatPr defaultColWidth="11.3984375" defaultRowHeight="14.25" x14ac:dyDescent="0.45"/>
  <cols>
    <col min="3" max="4" width="40.265625" customWidth="1"/>
    <col min="5" max="5" width="14.265625" bestFit="1" customWidth="1"/>
    <col min="6" max="6" width="17.3984375" customWidth="1"/>
    <col min="7" max="7" width="84.73046875" customWidth="1"/>
    <col min="8" max="8" width="78.86328125" customWidth="1"/>
  </cols>
  <sheetData>
    <row r="1" spans="1:8" x14ac:dyDescent="0.45">
      <c r="A1" s="79" t="s">
        <v>411</v>
      </c>
      <c r="B1" s="79"/>
      <c r="C1" s="79"/>
      <c r="D1" s="79"/>
      <c r="E1" s="79"/>
      <c r="F1" s="79"/>
    </row>
    <row r="3" spans="1:8" ht="28.5" x14ac:dyDescent="0.45">
      <c r="B3" s="141" t="s">
        <v>211</v>
      </c>
      <c r="C3" s="141" t="s">
        <v>212</v>
      </c>
      <c r="D3" s="144">
        <v>2023</v>
      </c>
      <c r="E3" s="74" t="s">
        <v>8</v>
      </c>
      <c r="F3" s="74" t="s">
        <v>9</v>
      </c>
      <c r="G3" s="74" t="s">
        <v>213</v>
      </c>
      <c r="H3" s="74" t="s">
        <v>214</v>
      </c>
    </row>
    <row r="4" spans="1:8" ht="48.75" customHeight="1" x14ac:dyDescent="0.45">
      <c r="B4" s="72">
        <v>10.1</v>
      </c>
      <c r="C4" s="72" t="s">
        <v>412</v>
      </c>
      <c r="D4" s="84">
        <f>ROUNDUP((30563.71*12),-3)</f>
        <v>367000</v>
      </c>
      <c r="E4" s="86">
        <f>E8+E12</f>
        <v>420586.66666666669</v>
      </c>
      <c r="F4" s="87">
        <f>23*18248</f>
        <v>419704</v>
      </c>
      <c r="G4" s="345"/>
      <c r="H4" s="345"/>
    </row>
    <row r="5" spans="1:8" ht="59.65" customHeight="1" x14ac:dyDescent="0.45">
      <c r="B5" s="72">
        <v>10.199999999999999</v>
      </c>
      <c r="C5" s="72" t="s">
        <v>413</v>
      </c>
      <c r="D5" s="84">
        <f>ROUNDUP(((70532.61-30563.71)*12),-3)</f>
        <v>480000</v>
      </c>
      <c r="E5" s="88">
        <f>E9+E13</f>
        <v>441342.93333333329</v>
      </c>
      <c r="F5" s="87">
        <f>24.24*18248</f>
        <v>442331.51999999996</v>
      </c>
      <c r="G5" s="345"/>
      <c r="H5" s="345"/>
    </row>
    <row r="6" spans="1:8" ht="29.65" customHeight="1" x14ac:dyDescent="0.45">
      <c r="B6" s="18"/>
      <c r="C6" s="18"/>
      <c r="D6" s="18"/>
      <c r="G6" s="16"/>
      <c r="H6" s="16"/>
    </row>
    <row r="7" spans="1:8" ht="49.9" hidden="1" customHeight="1" x14ac:dyDescent="0.45">
      <c r="B7" s="18"/>
      <c r="C7" s="19" t="s">
        <v>414</v>
      </c>
      <c r="D7" s="19"/>
      <c r="E7" s="24"/>
      <c r="F7" s="23"/>
      <c r="H7" s="16"/>
    </row>
    <row r="8" spans="1:8" ht="49.9" hidden="1" customHeight="1" x14ac:dyDescent="0.45">
      <c r="B8" s="18"/>
      <c r="C8" s="18" t="s">
        <v>415</v>
      </c>
      <c r="D8" s="24">
        <f>(23*18248)</f>
        <v>419704</v>
      </c>
      <c r="E8" s="24">
        <f>(23*18248)/12*10</f>
        <v>349753.33333333337</v>
      </c>
      <c r="F8" s="23"/>
      <c r="G8">
        <f>30563.71*12</f>
        <v>366764.52</v>
      </c>
    </row>
    <row r="9" spans="1:8" ht="49.9" hidden="1" customHeight="1" x14ac:dyDescent="0.45">
      <c r="B9" s="18"/>
      <c r="C9" s="18" t="s">
        <v>416</v>
      </c>
      <c r="D9" s="24">
        <f>(18248*24.24)</f>
        <v>442331.51999999996</v>
      </c>
      <c r="E9" s="24">
        <f>(18248*24.24)/12*10</f>
        <v>368609.6</v>
      </c>
      <c r="F9" s="23"/>
      <c r="G9">
        <f>2344.3*12</f>
        <v>28131.600000000002</v>
      </c>
    </row>
    <row r="10" spans="1:8" ht="49.9" hidden="1" customHeight="1" x14ac:dyDescent="0.45">
      <c r="B10" s="18"/>
      <c r="C10" s="18"/>
      <c r="D10" s="18"/>
      <c r="E10" s="24"/>
      <c r="F10" s="23"/>
    </row>
    <row r="11" spans="1:8" ht="49.9" hidden="1" customHeight="1" x14ac:dyDescent="0.45">
      <c r="B11" s="18"/>
      <c r="C11" s="19" t="s">
        <v>417</v>
      </c>
      <c r="D11" s="19"/>
      <c r="E11" s="24"/>
      <c r="F11" s="23"/>
    </row>
    <row r="12" spans="1:8" ht="49.9" hidden="1" customHeight="1" x14ac:dyDescent="0.45">
      <c r="B12" s="18"/>
      <c r="C12" s="71" t="s">
        <v>415</v>
      </c>
      <c r="D12" s="71"/>
      <c r="E12" s="159">
        <f>425000/12*2</f>
        <v>70833.333333333328</v>
      </c>
      <c r="F12" s="26"/>
      <c r="G12" s="16"/>
      <c r="H12" s="16"/>
    </row>
    <row r="13" spans="1:8" ht="49.9" hidden="1" customHeight="1" x14ac:dyDescent="0.45">
      <c r="B13" s="18"/>
      <c r="C13" s="71" t="s">
        <v>416</v>
      </c>
      <c r="D13" s="71"/>
      <c r="E13" s="159">
        <f>436400/12*2</f>
        <v>72733.333333333328</v>
      </c>
      <c r="F13" s="16"/>
      <c r="G13" s="16"/>
      <c r="H13" s="16"/>
    </row>
    <row r="14" spans="1:8" ht="49.9" hidden="1" customHeight="1" x14ac:dyDescent="0.45">
      <c r="B14" s="18"/>
      <c r="C14" s="71"/>
      <c r="D14" s="71"/>
      <c r="E14" s="70"/>
      <c r="F14" s="16"/>
      <c r="G14" s="16"/>
      <c r="H14" s="16"/>
    </row>
    <row r="15" spans="1:8" ht="49.9" hidden="1" customHeight="1" x14ac:dyDescent="0.45">
      <c r="B15" s="18"/>
      <c r="C15" s="18"/>
      <c r="D15" s="18"/>
      <c r="E15" s="24"/>
      <c r="F15" s="23"/>
      <c r="G15" s="16"/>
      <c r="H15" s="16"/>
    </row>
    <row r="16" spans="1:8" ht="57" hidden="1" customHeight="1" x14ac:dyDescent="0.45">
      <c r="A16" s="18"/>
      <c r="B16" s="18"/>
      <c r="C16" s="26"/>
      <c r="D16" s="26"/>
      <c r="E16" s="24"/>
      <c r="G16" s="16"/>
      <c r="H16" s="16"/>
    </row>
    <row r="17" spans="1:8" hidden="1" x14ac:dyDescent="0.45">
      <c r="B17" s="18"/>
      <c r="C17" s="18"/>
      <c r="D17" s="18"/>
      <c r="E17" s="24"/>
      <c r="G17" s="16"/>
      <c r="H17" s="16"/>
    </row>
    <row r="18" spans="1:8" x14ac:dyDescent="0.45">
      <c r="B18" s="18"/>
      <c r="C18" s="18"/>
      <c r="D18" s="18"/>
      <c r="G18" s="16"/>
      <c r="H18" s="16"/>
    </row>
    <row r="19" spans="1:8" x14ac:dyDescent="0.45">
      <c r="C19" s="19"/>
      <c r="D19" s="19"/>
    </row>
    <row r="22" spans="1:8" x14ac:dyDescent="0.45">
      <c r="A22" s="28"/>
    </row>
    <row r="23" spans="1:8" x14ac:dyDescent="0.45">
      <c r="A23" s="29"/>
    </row>
    <row r="24" spans="1:8" x14ac:dyDescent="0.45">
      <c r="A24" s="28"/>
    </row>
    <row r="25" spans="1:8" x14ac:dyDescent="0.45">
      <c r="A25" s="28"/>
    </row>
    <row r="26" spans="1:8" x14ac:dyDescent="0.45">
      <c r="A26" s="28"/>
    </row>
    <row r="27" spans="1:8" x14ac:dyDescent="0.45">
      <c r="A27" s="30"/>
    </row>
    <row r="28" spans="1:8" x14ac:dyDescent="0.45">
      <c r="A28" s="31"/>
    </row>
    <row r="29" spans="1:8" x14ac:dyDescent="0.45">
      <c r="A29" s="31"/>
    </row>
    <row r="30" spans="1:8" x14ac:dyDescent="0.45">
      <c r="A30" s="32"/>
    </row>
    <row r="31" spans="1:8" x14ac:dyDescent="0.45">
      <c r="A31" s="31"/>
    </row>
    <row r="32" spans="1:8" x14ac:dyDescent="0.45">
      <c r="A32" s="30"/>
    </row>
    <row r="33" spans="1:1" x14ac:dyDescent="0.45">
      <c r="A33" s="31"/>
    </row>
    <row r="34" spans="1:1" x14ac:dyDescent="0.45">
      <c r="A34" s="31"/>
    </row>
    <row r="35" spans="1:1" x14ac:dyDescent="0.45">
      <c r="A35" s="3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432A-2BE8-4EBC-9375-5D485E0A5EDE}">
  <dimension ref="A1:I116"/>
  <sheetViews>
    <sheetView showGridLines="0" topLeftCell="A6" zoomScale="130" zoomScaleNormal="130" workbookViewId="0">
      <selection activeCell="A7" sqref="A7"/>
    </sheetView>
  </sheetViews>
  <sheetFormatPr defaultColWidth="11.3984375" defaultRowHeight="14.25" x14ac:dyDescent="0.45"/>
  <cols>
    <col min="3" max="3" width="33.3984375" customWidth="1"/>
    <col min="4" max="4" width="14.265625" bestFit="1" customWidth="1"/>
    <col min="5" max="5" width="17.3984375" customWidth="1"/>
    <col min="6" max="6" width="76.59765625" customWidth="1"/>
    <col min="7" max="7" width="80.3984375" customWidth="1"/>
    <col min="8" max="8" width="27" customWidth="1"/>
  </cols>
  <sheetData>
    <row r="1" spans="1:9" x14ac:dyDescent="0.45">
      <c r="A1" s="414" t="s">
        <v>418</v>
      </c>
      <c r="B1" s="414"/>
      <c r="C1" s="414"/>
      <c r="D1" s="414"/>
      <c r="E1" s="414"/>
    </row>
    <row r="3" spans="1:9" ht="28.5" x14ac:dyDescent="0.45">
      <c r="B3" s="141" t="s">
        <v>419</v>
      </c>
      <c r="C3" s="141" t="s">
        <v>420</v>
      </c>
      <c r="D3" s="144">
        <v>2023</v>
      </c>
      <c r="E3" s="144" t="s">
        <v>8</v>
      </c>
      <c r="F3" s="144" t="s">
        <v>9</v>
      </c>
      <c r="G3" s="144" t="s">
        <v>213</v>
      </c>
      <c r="H3" s="148" t="s">
        <v>214</v>
      </c>
      <c r="I3" s="18"/>
    </row>
    <row r="4" spans="1:9" x14ac:dyDescent="0.45">
      <c r="B4" s="72">
        <v>11.1</v>
      </c>
      <c r="C4" s="90" t="s">
        <v>421</v>
      </c>
      <c r="D4" s="311">
        <v>20000</v>
      </c>
      <c r="E4" s="88">
        <v>20000</v>
      </c>
      <c r="F4" s="88">
        <v>20000</v>
      </c>
      <c r="G4" s="17"/>
      <c r="H4" s="89"/>
      <c r="I4" s="16"/>
    </row>
    <row r="5" spans="1:9" ht="28.5" x14ac:dyDescent="0.45">
      <c r="B5" s="72">
        <v>11.2</v>
      </c>
      <c r="C5" s="90" t="s">
        <v>422</v>
      </c>
      <c r="D5" s="85">
        <f>ROUNDUP(D32,-4)</f>
        <v>240000</v>
      </c>
      <c r="E5" s="88">
        <v>160000</v>
      </c>
      <c r="F5" s="87">
        <v>160000</v>
      </c>
      <c r="G5" s="17" t="s">
        <v>347</v>
      </c>
      <c r="H5" s="89" t="s">
        <v>348</v>
      </c>
      <c r="I5" s="1"/>
    </row>
    <row r="6" spans="1:9" ht="43.5" customHeight="1" x14ac:dyDescent="0.45">
      <c r="B6" s="72">
        <v>11.3</v>
      </c>
      <c r="C6" s="90" t="s">
        <v>423</v>
      </c>
      <c r="D6" s="307">
        <v>2000</v>
      </c>
      <c r="E6" s="88">
        <v>2000</v>
      </c>
      <c r="F6" s="87">
        <v>2000</v>
      </c>
      <c r="G6" s="17"/>
      <c r="H6" s="89"/>
      <c r="I6" s="1"/>
    </row>
    <row r="7" spans="1:9" ht="85.5" x14ac:dyDescent="0.45">
      <c r="B7" s="72">
        <v>11.4</v>
      </c>
      <c r="C7" s="90" t="s">
        <v>424</v>
      </c>
      <c r="D7" s="90"/>
      <c r="E7" s="88">
        <v>0</v>
      </c>
      <c r="F7" s="88">
        <v>0</v>
      </c>
      <c r="G7" s="27" t="s">
        <v>425</v>
      </c>
      <c r="H7" s="160" t="s">
        <v>426</v>
      </c>
      <c r="I7" s="1"/>
    </row>
    <row r="8" spans="1:9" ht="57" customHeight="1" x14ac:dyDescent="0.45">
      <c r="B8" s="72">
        <v>11.5</v>
      </c>
      <c r="C8" s="90" t="s">
        <v>427</v>
      </c>
      <c r="D8" s="90"/>
      <c r="E8" s="88">
        <v>0</v>
      </c>
      <c r="F8" s="88">
        <v>0</v>
      </c>
      <c r="G8" s="17" t="s">
        <v>428</v>
      </c>
      <c r="H8" s="147" t="s">
        <v>429</v>
      </c>
      <c r="I8" s="1"/>
    </row>
    <row r="9" spans="1:9" x14ac:dyDescent="0.45">
      <c r="B9" s="18"/>
      <c r="C9" s="18"/>
      <c r="D9" s="24"/>
      <c r="F9" s="16"/>
      <c r="G9" s="16"/>
      <c r="H9" s="1"/>
    </row>
    <row r="10" spans="1:9" x14ac:dyDescent="0.45">
      <c r="B10" s="18"/>
      <c r="C10" s="18"/>
      <c r="F10" s="16"/>
      <c r="G10" s="16"/>
      <c r="H10" s="16"/>
    </row>
    <row r="11" spans="1:9" x14ac:dyDescent="0.45">
      <c r="A11" s="19"/>
      <c r="C11" s="19"/>
    </row>
    <row r="12" spans="1:9" ht="28.5" x14ac:dyDescent="0.45">
      <c r="A12" s="19"/>
      <c r="B12">
        <v>11.2</v>
      </c>
      <c r="C12" s="149" t="s">
        <v>430</v>
      </c>
    </row>
    <row r="13" spans="1:9" x14ac:dyDescent="0.45">
      <c r="A13" s="19"/>
      <c r="C13" t="s">
        <v>431</v>
      </c>
      <c r="D13" s="310">
        <f>160*12</f>
        <v>1920</v>
      </c>
    </row>
    <row r="14" spans="1:9" s="360" customFormat="1" x14ac:dyDescent="0.45">
      <c r="A14" s="359"/>
      <c r="C14" s="360" t="s">
        <v>432</v>
      </c>
      <c r="D14" s="361">
        <v>15000</v>
      </c>
      <c r="E14" s="360" t="s">
        <v>433</v>
      </c>
    </row>
    <row r="15" spans="1:9" x14ac:dyDescent="0.45">
      <c r="A15" s="19"/>
      <c r="C15" t="s">
        <v>434</v>
      </c>
      <c r="D15" s="310">
        <f>8000*12</f>
        <v>96000</v>
      </c>
    </row>
    <row r="16" spans="1:9" x14ac:dyDescent="0.45">
      <c r="A16" s="19"/>
      <c r="C16" t="s">
        <v>435</v>
      </c>
      <c r="D16" s="310">
        <f>12*226</f>
        <v>2712</v>
      </c>
      <c r="E16" s="333"/>
    </row>
    <row r="17" spans="1:5" x14ac:dyDescent="0.45">
      <c r="A17" s="19"/>
      <c r="C17" t="s">
        <v>436</v>
      </c>
      <c r="D17" s="310">
        <f>1000*12</f>
        <v>12000</v>
      </c>
    </row>
    <row r="18" spans="1:5" x14ac:dyDescent="0.45">
      <c r="A18" s="19"/>
      <c r="C18" t="s">
        <v>437</v>
      </c>
      <c r="D18" s="310">
        <f>1250*12</f>
        <v>15000</v>
      </c>
    </row>
    <row r="19" spans="1:5" x14ac:dyDescent="0.45">
      <c r="A19" s="19"/>
      <c r="C19" t="s">
        <v>438</v>
      </c>
      <c r="D19" s="310">
        <v>3000</v>
      </c>
      <c r="E19" t="s">
        <v>439</v>
      </c>
    </row>
    <row r="20" spans="1:5" x14ac:dyDescent="0.45">
      <c r="A20" s="19"/>
      <c r="C20" t="s">
        <v>440</v>
      </c>
      <c r="D20" s="310">
        <f>320*12</f>
        <v>3840</v>
      </c>
    </row>
    <row r="21" spans="1:5" x14ac:dyDescent="0.45">
      <c r="A21" s="19"/>
      <c r="D21" s="310"/>
    </row>
    <row r="22" spans="1:5" x14ac:dyDescent="0.45">
      <c r="A22" s="19"/>
      <c r="C22" t="s">
        <v>441</v>
      </c>
      <c r="D22" s="310">
        <f>700*12</f>
        <v>8400</v>
      </c>
    </row>
    <row r="23" spans="1:5" x14ac:dyDescent="0.45">
      <c r="A23" s="19"/>
      <c r="C23" t="s">
        <v>442</v>
      </c>
      <c r="D23" s="310">
        <v>3000</v>
      </c>
    </row>
    <row r="24" spans="1:5" x14ac:dyDescent="0.45">
      <c r="A24" s="19"/>
      <c r="C24" t="s">
        <v>443</v>
      </c>
      <c r="D24" s="310">
        <v>3500</v>
      </c>
    </row>
    <row r="25" spans="1:5" x14ac:dyDescent="0.45">
      <c r="A25" s="19"/>
      <c r="C25" t="s">
        <v>444</v>
      </c>
      <c r="D25" s="310">
        <f>200*12</f>
        <v>2400</v>
      </c>
    </row>
    <row r="26" spans="1:5" x14ac:dyDescent="0.45">
      <c r="A26" s="19"/>
      <c r="C26" t="s">
        <v>445</v>
      </c>
      <c r="D26" s="310">
        <f>50*9.99*12</f>
        <v>5994</v>
      </c>
    </row>
    <row r="27" spans="1:5" x14ac:dyDescent="0.45">
      <c r="A27" s="19"/>
      <c r="C27" t="s">
        <v>446</v>
      </c>
      <c r="D27" s="310">
        <v>15000</v>
      </c>
    </row>
    <row r="28" spans="1:5" x14ac:dyDescent="0.45">
      <c r="A28" s="19"/>
      <c r="C28" t="s">
        <v>447</v>
      </c>
      <c r="D28" s="310">
        <f>D66</f>
        <v>9300</v>
      </c>
    </row>
    <row r="29" spans="1:5" x14ac:dyDescent="0.45">
      <c r="A29" s="19"/>
      <c r="C29" s="165" t="s">
        <v>448</v>
      </c>
      <c r="D29" s="310">
        <f>2500*12</f>
        <v>30000</v>
      </c>
      <c r="E29" s="350"/>
    </row>
    <row r="30" spans="1:5" x14ac:dyDescent="0.45">
      <c r="A30" s="19"/>
      <c r="C30" t="s">
        <v>449</v>
      </c>
      <c r="D30" s="310">
        <v>2000</v>
      </c>
      <c r="E30" t="s">
        <v>450</v>
      </c>
    </row>
    <row r="31" spans="1:5" x14ac:dyDescent="0.45">
      <c r="A31" s="19"/>
      <c r="C31" t="s">
        <v>451</v>
      </c>
      <c r="D31" s="314">
        <v>8000</v>
      </c>
    </row>
    <row r="32" spans="1:5" x14ac:dyDescent="0.45">
      <c r="A32" s="19"/>
      <c r="C32" s="19" t="s">
        <v>320</v>
      </c>
      <c r="D32" s="150">
        <f>SUM(D13:D31)</f>
        <v>237066</v>
      </c>
    </row>
    <row r="33" spans="1:3" x14ac:dyDescent="0.45">
      <c r="A33" s="19"/>
      <c r="C33" s="19"/>
    </row>
    <row r="34" spans="1:3" x14ac:dyDescent="0.45">
      <c r="A34" s="19"/>
    </row>
    <row r="35" spans="1:3" x14ac:dyDescent="0.45">
      <c r="A35" s="19"/>
      <c r="C35" s="18"/>
    </row>
    <row r="36" spans="1:3" x14ac:dyDescent="0.45">
      <c r="A36" s="19"/>
      <c r="C36" s="18"/>
    </row>
    <row r="37" spans="1:3" x14ac:dyDescent="0.45">
      <c r="A37" s="19"/>
      <c r="C37" s="18"/>
    </row>
    <row r="38" spans="1:3" x14ac:dyDescent="0.45">
      <c r="A38" s="19"/>
      <c r="C38" s="18"/>
    </row>
    <row r="39" spans="1:3" x14ac:dyDescent="0.45">
      <c r="A39" s="19"/>
      <c r="C39" s="19"/>
    </row>
    <row r="40" spans="1:3" x14ac:dyDescent="0.45">
      <c r="A40" s="19"/>
      <c r="C40" s="19"/>
    </row>
    <row r="57" spans="3:5" x14ac:dyDescent="0.45">
      <c r="C57" s="19" t="s">
        <v>452</v>
      </c>
    </row>
    <row r="58" spans="3:5" x14ac:dyDescent="0.45">
      <c r="C58" s="167" t="s">
        <v>453</v>
      </c>
      <c r="D58" s="168">
        <v>3200</v>
      </c>
    </row>
    <row r="59" spans="3:5" x14ac:dyDescent="0.45">
      <c r="C59" s="167" t="s">
        <v>454</v>
      </c>
      <c r="D59" s="168">
        <v>5000</v>
      </c>
    </row>
    <row r="60" spans="3:5" x14ac:dyDescent="0.45">
      <c r="C60" s="312" t="s">
        <v>455</v>
      </c>
      <c r="D60" s="313"/>
      <c r="E60" t="s">
        <v>456</v>
      </c>
    </row>
    <row r="61" spans="3:5" x14ac:dyDescent="0.45">
      <c r="C61" s="169" t="s">
        <v>457</v>
      </c>
      <c r="D61" s="170"/>
      <c r="E61" t="s">
        <v>456</v>
      </c>
    </row>
    <row r="62" spans="3:5" x14ac:dyDescent="0.45">
      <c r="C62" s="169" t="s">
        <v>458</v>
      </c>
      <c r="D62" s="171">
        <v>300</v>
      </c>
    </row>
    <row r="63" spans="3:5" x14ac:dyDescent="0.45">
      <c r="C63" s="169" t="s">
        <v>459</v>
      </c>
      <c r="D63" s="170"/>
    </row>
    <row r="64" spans="3:5" x14ac:dyDescent="0.45">
      <c r="C64" s="167" t="s">
        <v>460</v>
      </c>
      <c r="D64" s="415">
        <v>800</v>
      </c>
    </row>
    <row r="65" spans="3:4" x14ac:dyDescent="0.45">
      <c r="C65" s="169" t="s">
        <v>461</v>
      </c>
      <c r="D65" s="415"/>
    </row>
    <row r="66" spans="3:4" ht="14.65" thickBot="1" x14ac:dyDescent="0.5">
      <c r="D66" s="172">
        <f>SUM(D58:D64)</f>
        <v>9300</v>
      </c>
    </row>
    <row r="67" spans="3:4" ht="14.65" thickTop="1" x14ac:dyDescent="0.45"/>
    <row r="71" spans="3:4" x14ac:dyDescent="0.45">
      <c r="C71" s="164" t="s">
        <v>462</v>
      </c>
    </row>
    <row r="103" spans="3:3" x14ac:dyDescent="0.45">
      <c r="C103" s="194" t="s">
        <v>463</v>
      </c>
    </row>
    <row r="104" spans="3:3" x14ac:dyDescent="0.45">
      <c r="C104" s="194" t="s">
        <v>464</v>
      </c>
    </row>
    <row r="105" spans="3:3" x14ac:dyDescent="0.45">
      <c r="C105" s="194" t="s">
        <v>465</v>
      </c>
    </row>
    <row r="106" spans="3:3" x14ac:dyDescent="0.45">
      <c r="C106" s="194" t="s">
        <v>466</v>
      </c>
    </row>
    <row r="107" spans="3:3" x14ac:dyDescent="0.45">
      <c r="C107" s="194" t="s">
        <v>467</v>
      </c>
    </row>
    <row r="108" spans="3:3" x14ac:dyDescent="0.45">
      <c r="C108" s="194" t="s">
        <v>468</v>
      </c>
    </row>
    <row r="111" spans="3:3" x14ac:dyDescent="0.45">
      <c r="C111" s="194" t="s">
        <v>469</v>
      </c>
    </row>
    <row r="112" spans="3:3" x14ac:dyDescent="0.45">
      <c r="C112" s="194" t="s">
        <v>470</v>
      </c>
    </row>
    <row r="113" spans="3:3" x14ac:dyDescent="0.45">
      <c r="C113" s="194" t="s">
        <v>471</v>
      </c>
    </row>
    <row r="114" spans="3:3" x14ac:dyDescent="0.45">
      <c r="C114" s="194" t="s">
        <v>472</v>
      </c>
    </row>
    <row r="116" spans="3:3" x14ac:dyDescent="0.45">
      <c r="C116" s="194" t="s">
        <v>473</v>
      </c>
    </row>
  </sheetData>
  <mergeCells count="2">
    <mergeCell ref="A1:E1"/>
    <mergeCell ref="D64:D6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31A5-B164-4BA4-A24E-1D1FF59897C2}">
  <dimension ref="A1:H22"/>
  <sheetViews>
    <sheetView showGridLines="0" topLeftCell="A5" zoomScale="145" zoomScaleNormal="145" workbookViewId="0">
      <selection activeCell="D4" sqref="D4:D9"/>
    </sheetView>
  </sheetViews>
  <sheetFormatPr defaultColWidth="11.3984375" defaultRowHeight="14.25" x14ac:dyDescent="0.45"/>
  <cols>
    <col min="3" max="3" width="66.1328125" bestFit="1" customWidth="1"/>
    <col min="4" max="4" width="34.59765625" customWidth="1"/>
    <col min="5" max="5" width="14.265625" bestFit="1" customWidth="1"/>
    <col min="6" max="6" width="17.3984375" customWidth="1"/>
    <col min="7" max="7" width="84.73046875" customWidth="1"/>
    <col min="8" max="8" width="71.73046875" customWidth="1"/>
  </cols>
  <sheetData>
    <row r="1" spans="1:8" x14ac:dyDescent="0.45">
      <c r="A1" s="414" t="s">
        <v>474</v>
      </c>
      <c r="B1" s="414"/>
      <c r="C1" s="414"/>
      <c r="D1" s="414"/>
      <c r="E1" s="414"/>
      <c r="F1" s="414"/>
    </row>
    <row r="2" spans="1:8" x14ac:dyDescent="0.45">
      <c r="G2" s="158"/>
    </row>
    <row r="3" spans="1:8" ht="28.5" x14ac:dyDescent="0.45">
      <c r="B3" s="141" t="s">
        <v>419</v>
      </c>
      <c r="C3" s="141" t="s">
        <v>420</v>
      </c>
      <c r="D3" s="144">
        <v>2023</v>
      </c>
      <c r="E3" s="144" t="s">
        <v>8</v>
      </c>
      <c r="F3" s="144" t="s">
        <v>9</v>
      </c>
      <c r="G3" s="144" t="s">
        <v>213</v>
      </c>
      <c r="H3" s="148" t="s">
        <v>214</v>
      </c>
    </row>
    <row r="4" spans="1:8" ht="101.65" customHeight="1" x14ac:dyDescent="0.45">
      <c r="A4">
        <v>90</v>
      </c>
      <c r="B4" s="72">
        <v>12.1</v>
      </c>
      <c r="C4" s="90" t="s">
        <v>475</v>
      </c>
      <c r="D4" s="308">
        <v>105000</v>
      </c>
      <c r="E4" s="87">
        <v>100000</v>
      </c>
      <c r="F4" s="87">
        <v>100000</v>
      </c>
      <c r="G4" s="17"/>
      <c r="H4" s="89"/>
    </row>
    <row r="5" spans="1:8" ht="127.5" customHeight="1" x14ac:dyDescent="0.45">
      <c r="A5">
        <v>50</v>
      </c>
      <c r="B5" s="72">
        <v>12.2</v>
      </c>
      <c r="C5" s="72" t="s">
        <v>477</v>
      </c>
      <c r="D5" s="308">
        <v>74000</v>
      </c>
      <c r="E5" s="87">
        <v>70000</v>
      </c>
      <c r="F5" s="87">
        <v>70000</v>
      </c>
      <c r="G5" s="17"/>
      <c r="H5" s="89"/>
    </row>
    <row r="6" spans="1:8" ht="29.65" customHeight="1" x14ac:dyDescent="0.45">
      <c r="A6">
        <v>28</v>
      </c>
      <c r="B6" s="72">
        <v>12.3</v>
      </c>
      <c r="C6" s="90" t="s">
        <v>478</v>
      </c>
      <c r="D6" s="308">
        <v>32000</v>
      </c>
      <c r="E6" s="87">
        <v>30000</v>
      </c>
      <c r="F6" s="87">
        <v>30000</v>
      </c>
      <c r="G6" s="17"/>
      <c r="H6" s="89"/>
    </row>
    <row r="7" spans="1:8" ht="29.65" customHeight="1" x14ac:dyDescent="0.45">
      <c r="A7">
        <v>10</v>
      </c>
      <c r="B7" s="72">
        <v>12.4</v>
      </c>
      <c r="C7" s="72" t="s">
        <v>479</v>
      </c>
      <c r="D7" s="308">
        <v>13000</v>
      </c>
      <c r="E7" s="87">
        <v>12000</v>
      </c>
      <c r="F7" s="87">
        <v>12000</v>
      </c>
      <c r="G7" s="17" t="s">
        <v>476</v>
      </c>
      <c r="H7" s="89" t="s">
        <v>344</v>
      </c>
    </row>
    <row r="8" spans="1:8" ht="29.65" customHeight="1" x14ac:dyDescent="0.45">
      <c r="A8">
        <v>20</v>
      </c>
      <c r="B8" s="72">
        <v>12.5</v>
      </c>
      <c r="C8" s="90" t="s">
        <v>480</v>
      </c>
      <c r="D8" s="308">
        <v>53000</v>
      </c>
      <c r="E8" s="87">
        <v>50000</v>
      </c>
      <c r="F8" s="87">
        <v>50000</v>
      </c>
      <c r="G8" s="17" t="s">
        <v>476</v>
      </c>
      <c r="H8" s="89" t="s">
        <v>344</v>
      </c>
    </row>
    <row r="9" spans="1:8" ht="29.65" customHeight="1" x14ac:dyDescent="0.45">
      <c r="A9">
        <v>30</v>
      </c>
      <c r="B9" s="72">
        <v>12.6</v>
      </c>
      <c r="C9" s="90" t="s">
        <v>481</v>
      </c>
      <c r="D9" s="308">
        <v>32000</v>
      </c>
      <c r="E9" s="87">
        <v>30000</v>
      </c>
      <c r="F9" s="87">
        <v>30000</v>
      </c>
      <c r="G9" s="17" t="s">
        <v>476</v>
      </c>
      <c r="H9" s="89" t="s">
        <v>344</v>
      </c>
    </row>
    <row r="10" spans="1:8" x14ac:dyDescent="0.45">
      <c r="A10" s="29"/>
      <c r="G10" s="1"/>
    </row>
    <row r="11" spans="1:8" x14ac:dyDescent="0.45">
      <c r="A11" s="28"/>
      <c r="G11" s="1"/>
    </row>
    <row r="12" spans="1:8" x14ac:dyDescent="0.45">
      <c r="A12" s="28"/>
    </row>
    <row r="13" spans="1:8" x14ac:dyDescent="0.45">
      <c r="A13" s="28"/>
    </row>
    <row r="14" spans="1:8" x14ac:dyDescent="0.45">
      <c r="A14" s="30"/>
    </row>
    <row r="15" spans="1:8" x14ac:dyDescent="0.45">
      <c r="A15" s="31"/>
    </row>
    <row r="16" spans="1:8" x14ac:dyDescent="0.45">
      <c r="A16" s="31"/>
    </row>
    <row r="17" spans="1:1" x14ac:dyDescent="0.45">
      <c r="A17" s="32"/>
    </row>
    <row r="18" spans="1:1" x14ac:dyDescent="0.45">
      <c r="A18" s="31"/>
    </row>
    <row r="19" spans="1:1" x14ac:dyDescent="0.45">
      <c r="A19" s="30"/>
    </row>
    <row r="20" spans="1:1" x14ac:dyDescent="0.45">
      <c r="A20" s="31"/>
    </row>
    <row r="21" spans="1:1" x14ac:dyDescent="0.45">
      <c r="A21" s="31"/>
    </row>
    <row r="22" spans="1:1" x14ac:dyDescent="0.45">
      <c r="A22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D2DC-AC71-4D9B-8EAC-98D4D35540CB}">
  <dimension ref="A1:H23"/>
  <sheetViews>
    <sheetView showGridLines="0" topLeftCell="A5" zoomScale="115" zoomScaleNormal="115" workbookViewId="0">
      <selection activeCell="D4" sqref="D4:D16"/>
    </sheetView>
  </sheetViews>
  <sheetFormatPr defaultColWidth="11.3984375" defaultRowHeight="14.25" x14ac:dyDescent="0.45"/>
  <cols>
    <col min="3" max="3" width="46.73046875" customWidth="1"/>
    <col min="4" max="4" width="26.3984375" customWidth="1"/>
    <col min="5" max="5" width="20.73046875" customWidth="1"/>
    <col min="6" max="6" width="32.59765625" customWidth="1"/>
    <col min="7" max="7" width="53.1328125" customWidth="1"/>
    <col min="8" max="8" width="63.73046875" customWidth="1"/>
  </cols>
  <sheetData>
    <row r="1" spans="1:8" x14ac:dyDescent="0.45">
      <c r="A1" s="416" t="s">
        <v>482</v>
      </c>
      <c r="B1" s="416"/>
      <c r="C1" s="416"/>
      <c r="D1" s="416"/>
      <c r="E1" s="416"/>
      <c r="F1" s="416"/>
    </row>
    <row r="2" spans="1:8" x14ac:dyDescent="0.45">
      <c r="G2" s="158"/>
    </row>
    <row r="3" spans="1:8" ht="28.5" x14ac:dyDescent="0.45">
      <c r="A3" s="163"/>
      <c r="B3" s="141" t="s">
        <v>419</v>
      </c>
      <c r="C3" s="141" t="s">
        <v>420</v>
      </c>
      <c r="D3" s="144">
        <v>2023</v>
      </c>
      <c r="E3" s="144" t="s">
        <v>8</v>
      </c>
      <c r="F3" s="144" t="s">
        <v>9</v>
      </c>
      <c r="G3" s="144" t="s">
        <v>213</v>
      </c>
      <c r="H3" s="148" t="s">
        <v>214</v>
      </c>
    </row>
    <row r="4" spans="1:8" ht="101.65" customHeight="1" x14ac:dyDescent="0.45">
      <c r="A4" s="163"/>
      <c r="B4" s="97">
        <v>13.1</v>
      </c>
      <c r="C4" s="72" t="s">
        <v>483</v>
      </c>
      <c r="D4" s="306">
        <f>E4</f>
        <v>100000</v>
      </c>
      <c r="E4" s="87">
        <v>100000</v>
      </c>
      <c r="F4" s="87">
        <v>100000</v>
      </c>
      <c r="G4" s="17" t="s">
        <v>347</v>
      </c>
      <c r="H4" s="89" t="s">
        <v>348</v>
      </c>
    </row>
    <row r="5" spans="1:8" ht="66" customHeight="1" x14ac:dyDescent="0.45">
      <c r="A5" s="163"/>
      <c r="B5" s="97">
        <v>13.2</v>
      </c>
      <c r="C5" s="72" t="s">
        <v>484</v>
      </c>
      <c r="D5" s="306">
        <v>215000</v>
      </c>
      <c r="E5" s="87">
        <v>200000</v>
      </c>
      <c r="F5" s="87">
        <v>200000</v>
      </c>
      <c r="G5" s="17"/>
      <c r="H5" s="89"/>
    </row>
    <row r="6" spans="1:8" ht="29.65" customHeight="1" x14ac:dyDescent="0.45">
      <c r="A6" s="163"/>
      <c r="B6" s="97">
        <v>13.3</v>
      </c>
      <c r="C6" s="90" t="s">
        <v>485</v>
      </c>
      <c r="D6" s="307">
        <f>E6</f>
        <v>50000</v>
      </c>
      <c r="E6" s="87">
        <v>50000</v>
      </c>
      <c r="F6" s="87">
        <v>50000</v>
      </c>
      <c r="G6" s="17" t="s">
        <v>347</v>
      </c>
      <c r="H6" s="89" t="s">
        <v>348</v>
      </c>
    </row>
    <row r="7" spans="1:8" ht="49.9" customHeight="1" x14ac:dyDescent="0.45">
      <c r="A7" s="163"/>
      <c r="B7" s="97">
        <v>13.4</v>
      </c>
      <c r="C7" s="72" t="s">
        <v>486</v>
      </c>
      <c r="D7" s="306">
        <f>E7</f>
        <v>15000</v>
      </c>
      <c r="E7" s="87">
        <v>15000</v>
      </c>
      <c r="F7" s="87">
        <v>15000</v>
      </c>
      <c r="G7" s="17" t="s">
        <v>347</v>
      </c>
      <c r="H7" s="89" t="s">
        <v>348</v>
      </c>
    </row>
    <row r="8" spans="1:8" ht="28.5" x14ac:dyDescent="0.45">
      <c r="A8" s="163"/>
      <c r="B8" s="97">
        <v>13.6</v>
      </c>
      <c r="C8" s="90" t="s">
        <v>487</v>
      </c>
      <c r="D8" s="307">
        <f>E8</f>
        <v>130000</v>
      </c>
      <c r="E8" s="86">
        <f>ROUNDUP(127000*1.015,-4)</f>
        <v>130000</v>
      </c>
      <c r="F8" s="86">
        <f>ROUNDUP(127000*1.015,-4)</f>
        <v>130000</v>
      </c>
      <c r="G8" s="17" t="s">
        <v>347</v>
      </c>
      <c r="H8" s="89" t="s">
        <v>348</v>
      </c>
    </row>
    <row r="9" spans="1:8" ht="40.9" customHeight="1" x14ac:dyDescent="0.45">
      <c r="A9" s="163"/>
      <c r="B9" s="97">
        <v>13.7</v>
      </c>
      <c r="C9" s="72" t="s">
        <v>488</v>
      </c>
      <c r="D9" s="215">
        <f>E9</f>
        <v>5000</v>
      </c>
      <c r="E9" s="73">
        <v>5000</v>
      </c>
      <c r="F9" s="73">
        <v>5000</v>
      </c>
      <c r="G9" s="17" t="s">
        <v>347</v>
      </c>
      <c r="H9" s="89" t="s">
        <v>348</v>
      </c>
    </row>
    <row r="10" spans="1:8" ht="28.5" x14ac:dyDescent="0.45">
      <c r="A10" s="363"/>
      <c r="B10" s="97">
        <v>13.8</v>
      </c>
      <c r="C10" s="72" t="s">
        <v>489</v>
      </c>
      <c r="D10" s="214">
        <f>E10</f>
        <v>10000</v>
      </c>
      <c r="E10" s="87">
        <v>10000</v>
      </c>
      <c r="F10" s="87">
        <v>10000</v>
      </c>
      <c r="G10" s="17" t="s">
        <v>347</v>
      </c>
      <c r="H10" s="89" t="s">
        <v>348</v>
      </c>
    </row>
    <row r="11" spans="1:8" s="212" customFormat="1" ht="28.5" x14ac:dyDescent="0.45">
      <c r="A11" s="364"/>
      <c r="B11" s="346">
        <v>13.9</v>
      </c>
      <c r="C11" s="347" t="s">
        <v>490</v>
      </c>
      <c r="D11" s="348">
        <v>60000</v>
      </c>
      <c r="E11" s="349">
        <v>20000</v>
      </c>
      <c r="F11" s="349">
        <v>20000</v>
      </c>
      <c r="G11" s="89" t="s">
        <v>491</v>
      </c>
      <c r="H11" s="89" t="s">
        <v>492</v>
      </c>
    </row>
    <row r="12" spans="1:8" ht="28.5" x14ac:dyDescent="0.45">
      <c r="A12" s="363"/>
      <c r="B12" s="97" t="s">
        <v>166</v>
      </c>
      <c r="C12" s="72" t="s">
        <v>493</v>
      </c>
      <c r="D12" s="215">
        <f>E12</f>
        <v>15000</v>
      </c>
      <c r="E12" s="73">
        <v>15000</v>
      </c>
      <c r="F12" s="73">
        <v>15000</v>
      </c>
      <c r="G12" s="17" t="s">
        <v>494</v>
      </c>
      <c r="H12" s="89" t="s">
        <v>495</v>
      </c>
    </row>
    <row r="13" spans="1:8" ht="28.5" x14ac:dyDescent="0.45">
      <c r="A13" s="365"/>
      <c r="B13" s="97" t="s">
        <v>496</v>
      </c>
      <c r="C13" s="72" t="s">
        <v>497</v>
      </c>
      <c r="D13" s="215">
        <f>E13</f>
        <v>45000</v>
      </c>
      <c r="E13" s="73">
        <v>45000</v>
      </c>
      <c r="F13" s="73">
        <v>45000</v>
      </c>
      <c r="G13" s="17" t="s">
        <v>347</v>
      </c>
      <c r="H13" s="89" t="s">
        <v>348</v>
      </c>
    </row>
    <row r="14" spans="1:8" ht="28.5" x14ac:dyDescent="0.45">
      <c r="A14" s="365"/>
      <c r="B14" s="97">
        <v>13.13</v>
      </c>
      <c r="C14" s="72" t="s">
        <v>498</v>
      </c>
      <c r="D14" s="214">
        <v>20000</v>
      </c>
      <c r="E14" s="87">
        <v>10000</v>
      </c>
      <c r="F14" s="87">
        <v>10000</v>
      </c>
      <c r="G14" s="17" t="s">
        <v>499</v>
      </c>
      <c r="H14" s="89" t="s">
        <v>500</v>
      </c>
    </row>
    <row r="15" spans="1:8" ht="28.5" x14ac:dyDescent="0.45">
      <c r="A15" s="365"/>
      <c r="B15" s="97">
        <v>13.14</v>
      </c>
      <c r="C15" s="72" t="s">
        <v>501</v>
      </c>
      <c r="D15" s="214">
        <v>50000</v>
      </c>
      <c r="E15" s="87">
        <v>80000</v>
      </c>
      <c r="F15" s="87">
        <v>80000</v>
      </c>
      <c r="G15" s="89" t="s">
        <v>502</v>
      </c>
      <c r="H15" s="89" t="s">
        <v>503</v>
      </c>
    </row>
    <row r="16" spans="1:8" x14ac:dyDescent="0.45">
      <c r="A16" s="365"/>
      <c r="B16" s="97">
        <v>13.15</v>
      </c>
      <c r="C16" s="72" t="s">
        <v>504</v>
      </c>
      <c r="D16" s="214">
        <v>50000</v>
      </c>
      <c r="E16" s="87">
        <v>50000</v>
      </c>
      <c r="F16" s="87">
        <v>0</v>
      </c>
      <c r="G16" s="89" t="s">
        <v>610</v>
      </c>
      <c r="H16" s="89" t="s">
        <v>610</v>
      </c>
    </row>
    <row r="17" spans="1:5" x14ac:dyDescent="0.45">
      <c r="A17" s="31"/>
    </row>
    <row r="18" spans="1:5" x14ac:dyDescent="0.45">
      <c r="E18" s="1"/>
    </row>
    <row r="19" spans="1:5" x14ac:dyDescent="0.45">
      <c r="E19" s="1"/>
    </row>
    <row r="20" spans="1:5" x14ac:dyDescent="0.45">
      <c r="E20" s="64"/>
    </row>
    <row r="21" spans="1:5" x14ac:dyDescent="0.45">
      <c r="E21" s="1"/>
    </row>
    <row r="22" spans="1:5" x14ac:dyDescent="0.45">
      <c r="E22" s="1"/>
    </row>
    <row r="23" spans="1:5" x14ac:dyDescent="0.45">
      <c r="E23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39E9-1CFE-43DA-87EC-99FD7F3A821F}">
  <dimension ref="A1:H27"/>
  <sheetViews>
    <sheetView showGridLines="0" zoomScale="130" zoomScaleNormal="130" workbookViewId="0">
      <selection activeCell="A4" sqref="A4"/>
    </sheetView>
  </sheetViews>
  <sheetFormatPr defaultColWidth="11.3984375" defaultRowHeight="14.25" x14ac:dyDescent="0.45"/>
  <cols>
    <col min="3" max="3" width="33.3984375" customWidth="1"/>
    <col min="4" max="4" width="21.73046875" customWidth="1"/>
    <col min="5" max="5" width="14.265625" bestFit="1" customWidth="1"/>
    <col min="6" max="6" width="17.3984375" customWidth="1"/>
    <col min="7" max="7" width="57.73046875" customWidth="1"/>
    <col min="8" max="8" width="68.3984375" customWidth="1"/>
  </cols>
  <sheetData>
    <row r="1" spans="1:8" x14ac:dyDescent="0.45">
      <c r="A1" s="414" t="s">
        <v>505</v>
      </c>
      <c r="B1" s="414"/>
      <c r="C1" s="414"/>
      <c r="D1" s="414"/>
      <c r="E1" s="414"/>
      <c r="F1" s="414"/>
    </row>
    <row r="3" spans="1:8" ht="28.5" x14ac:dyDescent="0.45">
      <c r="B3" s="141" t="s">
        <v>419</v>
      </c>
      <c r="C3" s="141" t="s">
        <v>420</v>
      </c>
      <c r="D3" s="144">
        <v>2023</v>
      </c>
      <c r="E3" s="144" t="s">
        <v>8</v>
      </c>
      <c r="F3" s="144" t="s">
        <v>9</v>
      </c>
      <c r="G3" s="144" t="s">
        <v>213</v>
      </c>
      <c r="H3" s="148" t="s">
        <v>214</v>
      </c>
    </row>
    <row r="4" spans="1:8" ht="101.65" customHeight="1" x14ac:dyDescent="0.45">
      <c r="B4" s="106">
        <v>14</v>
      </c>
      <c r="C4" s="128" t="s">
        <v>506</v>
      </c>
      <c r="D4" s="107">
        <v>350000</v>
      </c>
      <c r="E4" s="107">
        <v>320000</v>
      </c>
      <c r="F4" s="107">
        <v>320000</v>
      </c>
      <c r="G4" s="161"/>
      <c r="H4" s="162"/>
    </row>
    <row r="5" spans="1:8" ht="100.9" customHeight="1" x14ac:dyDescent="0.45">
      <c r="B5" s="18"/>
      <c r="C5" s="18"/>
      <c r="D5" s="18"/>
      <c r="E5" s="108"/>
      <c r="F5" s="109"/>
      <c r="G5" s="305"/>
    </row>
    <row r="6" spans="1:8" ht="29.65" customHeight="1" x14ac:dyDescent="0.45">
      <c r="B6" s="18"/>
      <c r="C6" s="18"/>
      <c r="D6" s="18"/>
    </row>
    <row r="7" spans="1:8" ht="49.9" customHeight="1" x14ac:dyDescent="0.45">
      <c r="B7" s="18"/>
      <c r="C7" s="18"/>
      <c r="D7" s="18"/>
      <c r="E7" s="24"/>
      <c r="F7" s="23"/>
    </row>
    <row r="8" spans="1:8" ht="57" customHeight="1" x14ac:dyDescent="0.45">
      <c r="B8" s="18"/>
      <c r="C8" s="26"/>
      <c r="D8" s="26"/>
      <c r="E8" s="24"/>
    </row>
    <row r="9" spans="1:8" x14ac:dyDescent="0.45">
      <c r="B9" s="18"/>
      <c r="C9" s="18"/>
      <c r="D9" s="18"/>
      <c r="E9" s="24"/>
    </row>
    <row r="10" spans="1:8" x14ac:dyDescent="0.45">
      <c r="B10" s="18"/>
      <c r="C10" s="18"/>
      <c r="D10" s="18"/>
    </row>
    <row r="11" spans="1:8" x14ac:dyDescent="0.45">
      <c r="A11" s="19"/>
      <c r="C11" s="19"/>
      <c r="D11" s="19"/>
    </row>
    <row r="13" spans="1:8" x14ac:dyDescent="0.45">
      <c r="A13" s="19"/>
    </row>
    <row r="14" spans="1:8" x14ac:dyDescent="0.45">
      <c r="A14" s="28"/>
    </row>
    <row r="15" spans="1:8" x14ac:dyDescent="0.45">
      <c r="A15" s="29"/>
    </row>
    <row r="16" spans="1:8" x14ac:dyDescent="0.45">
      <c r="A16" s="28"/>
    </row>
    <row r="17" spans="1:1" x14ac:dyDescent="0.45">
      <c r="A17" s="28"/>
    </row>
    <row r="18" spans="1:1" x14ac:dyDescent="0.45">
      <c r="A18" s="28"/>
    </row>
    <row r="19" spans="1:1" x14ac:dyDescent="0.45">
      <c r="A19" s="30"/>
    </row>
    <row r="20" spans="1:1" x14ac:dyDescent="0.45">
      <c r="A20" s="31"/>
    </row>
    <row r="21" spans="1:1" x14ac:dyDescent="0.45">
      <c r="A21" s="31"/>
    </row>
    <row r="22" spans="1:1" x14ac:dyDescent="0.45">
      <c r="A22" s="32"/>
    </row>
    <row r="23" spans="1:1" x14ac:dyDescent="0.45">
      <c r="A23" s="31"/>
    </row>
    <row r="24" spans="1:1" x14ac:dyDescent="0.45">
      <c r="A24" s="30"/>
    </row>
    <row r="25" spans="1:1" x14ac:dyDescent="0.45">
      <c r="A25" s="31"/>
    </row>
    <row r="26" spans="1:1" x14ac:dyDescent="0.45">
      <c r="A26" s="31"/>
    </row>
    <row r="27" spans="1:1" x14ac:dyDescent="0.45">
      <c r="A27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28C3-0ECE-47E6-882E-674F386446A6}">
  <dimension ref="A1:I27"/>
  <sheetViews>
    <sheetView showGridLines="0" topLeftCell="C1" zoomScale="130" zoomScaleNormal="130" workbookViewId="0">
      <selection activeCell="D6" sqref="D6"/>
    </sheetView>
  </sheetViews>
  <sheetFormatPr defaultColWidth="11.3984375" defaultRowHeight="14.25" x14ac:dyDescent="0.45"/>
  <cols>
    <col min="2" max="2" width="14.73046875" customWidth="1"/>
    <col min="3" max="4" width="32.59765625" customWidth="1"/>
    <col min="5" max="6" width="14.73046875" bestFit="1" customWidth="1"/>
    <col min="7" max="7" width="49.73046875" customWidth="1"/>
    <col min="8" max="8" width="52.59765625" customWidth="1"/>
  </cols>
  <sheetData>
    <row r="1" spans="1:9" x14ac:dyDescent="0.45">
      <c r="A1" s="414" t="s">
        <v>507</v>
      </c>
      <c r="B1" s="414"/>
      <c r="C1" s="414"/>
      <c r="D1" s="414"/>
      <c r="E1" s="414"/>
      <c r="F1" s="414"/>
    </row>
    <row r="4" spans="1:9" ht="28.5" x14ac:dyDescent="0.45">
      <c r="B4" s="141" t="s">
        <v>419</v>
      </c>
      <c r="C4" s="141" t="s">
        <v>420</v>
      </c>
      <c r="D4" s="144">
        <v>2023</v>
      </c>
      <c r="E4" s="144" t="s">
        <v>8</v>
      </c>
      <c r="F4" s="144" t="s">
        <v>9</v>
      </c>
      <c r="G4" s="144" t="s">
        <v>213</v>
      </c>
      <c r="H4" s="148" t="s">
        <v>214</v>
      </c>
    </row>
    <row r="5" spans="1:9" ht="75" customHeight="1" x14ac:dyDescent="0.45">
      <c r="B5" s="72">
        <v>15.1</v>
      </c>
      <c r="C5" s="90" t="s">
        <v>508</v>
      </c>
      <c r="D5" s="342">
        <v>225000</v>
      </c>
      <c r="E5" s="87">
        <v>225000</v>
      </c>
      <c r="F5" s="87">
        <v>225000</v>
      </c>
      <c r="G5" s="17" t="s">
        <v>509</v>
      </c>
      <c r="H5" s="147" t="s">
        <v>510</v>
      </c>
    </row>
    <row r="6" spans="1:9" ht="42.75" x14ac:dyDescent="0.45">
      <c r="B6" s="72">
        <v>15.2</v>
      </c>
      <c r="C6" s="90" t="s">
        <v>511</v>
      </c>
      <c r="D6" s="342">
        <v>25000</v>
      </c>
      <c r="E6" s="87">
        <v>25000</v>
      </c>
      <c r="F6" s="87">
        <v>25000</v>
      </c>
      <c r="G6" s="161" t="s">
        <v>512</v>
      </c>
      <c r="H6" s="162" t="s">
        <v>513</v>
      </c>
      <c r="I6" s="158"/>
    </row>
    <row r="7" spans="1:9" x14ac:dyDescent="0.45">
      <c r="E7" s="23"/>
      <c r="F7" s="23"/>
    </row>
    <row r="8" spans="1:9" x14ac:dyDescent="0.45">
      <c r="E8" s="23"/>
      <c r="F8" s="23"/>
      <c r="G8" s="157"/>
    </row>
    <row r="9" spans="1:9" x14ac:dyDescent="0.45">
      <c r="G9" s="299"/>
    </row>
    <row r="10" spans="1:9" x14ac:dyDescent="0.45">
      <c r="E10" s="77"/>
    </row>
    <row r="11" spans="1:9" x14ac:dyDescent="0.45">
      <c r="A11" s="19"/>
    </row>
    <row r="13" spans="1:9" x14ac:dyDescent="0.45">
      <c r="A13" s="19"/>
    </row>
    <row r="14" spans="1:9" x14ac:dyDescent="0.45">
      <c r="A14" s="28"/>
    </row>
    <row r="15" spans="1:9" x14ac:dyDescent="0.45">
      <c r="A15" s="29"/>
    </row>
    <row r="16" spans="1:9" x14ac:dyDescent="0.45">
      <c r="A16" s="28"/>
    </row>
    <row r="17" spans="1:1" x14ac:dyDescent="0.45">
      <c r="A17" s="28"/>
    </row>
    <row r="18" spans="1:1" x14ac:dyDescent="0.45">
      <c r="A18" s="28"/>
    </row>
    <row r="19" spans="1:1" x14ac:dyDescent="0.45">
      <c r="A19" s="30"/>
    </row>
    <row r="20" spans="1:1" x14ac:dyDescent="0.45">
      <c r="A20" s="31"/>
    </row>
    <row r="21" spans="1:1" x14ac:dyDescent="0.45">
      <c r="A21" s="31"/>
    </row>
    <row r="22" spans="1:1" x14ac:dyDescent="0.45">
      <c r="A22" s="32"/>
    </row>
    <row r="23" spans="1:1" x14ac:dyDescent="0.45">
      <c r="A23" s="31"/>
    </row>
    <row r="24" spans="1:1" x14ac:dyDescent="0.45">
      <c r="A24" s="30"/>
    </row>
    <row r="25" spans="1:1" x14ac:dyDescent="0.45">
      <c r="A25" s="31"/>
    </row>
    <row r="26" spans="1:1" x14ac:dyDescent="0.45">
      <c r="A26" s="31"/>
    </row>
    <row r="27" spans="1:1" x14ac:dyDescent="0.45">
      <c r="A27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CB05-8C4B-4337-8FA4-111ED13C65AA}">
  <dimension ref="A1:I27"/>
  <sheetViews>
    <sheetView showGridLines="0" workbookViewId="0">
      <selection activeCell="D7" sqref="D7"/>
    </sheetView>
  </sheetViews>
  <sheetFormatPr defaultColWidth="11.3984375" defaultRowHeight="14.25" x14ac:dyDescent="0.45"/>
  <cols>
    <col min="3" max="4" width="29.73046875" customWidth="1"/>
    <col min="5" max="5" width="12.73046875" bestFit="1" customWidth="1"/>
    <col min="6" max="6" width="25" customWidth="1"/>
    <col min="7" max="7" width="49.86328125" customWidth="1"/>
    <col min="8" max="8" width="57" customWidth="1"/>
    <col min="9" max="9" width="14.73046875" customWidth="1"/>
  </cols>
  <sheetData>
    <row r="1" spans="1:9" x14ac:dyDescent="0.45">
      <c r="A1" s="414" t="s">
        <v>514</v>
      </c>
      <c r="B1" s="414"/>
      <c r="C1" s="414"/>
      <c r="D1" s="414"/>
      <c r="E1" s="414"/>
      <c r="F1" s="414"/>
    </row>
    <row r="4" spans="1:9" ht="28.5" x14ac:dyDescent="0.45">
      <c r="B4" s="141" t="s">
        <v>419</v>
      </c>
      <c r="C4" s="141" t="s">
        <v>420</v>
      </c>
      <c r="D4" s="144">
        <v>2023</v>
      </c>
      <c r="E4" s="144" t="s">
        <v>8</v>
      </c>
      <c r="F4" s="144" t="s">
        <v>8</v>
      </c>
      <c r="G4" s="144" t="s">
        <v>213</v>
      </c>
      <c r="H4" s="148" t="s">
        <v>214</v>
      </c>
    </row>
    <row r="5" spans="1:9" ht="75" customHeight="1" x14ac:dyDescent="0.45">
      <c r="B5" s="72">
        <v>16.100000000000001</v>
      </c>
      <c r="C5" s="90" t="s">
        <v>515</v>
      </c>
      <c r="D5" s="342">
        <v>40000</v>
      </c>
      <c r="E5" s="87">
        <v>40000</v>
      </c>
      <c r="F5" s="87">
        <v>40000</v>
      </c>
      <c r="G5" s="161"/>
      <c r="H5" s="162"/>
      <c r="I5" s="158"/>
    </row>
    <row r="6" spans="1:9" ht="28.5" x14ac:dyDescent="0.45">
      <c r="B6" s="72">
        <v>16.2</v>
      </c>
      <c r="C6" s="90" t="s">
        <v>516</v>
      </c>
      <c r="D6" s="342">
        <v>115000</v>
      </c>
      <c r="E6" s="73">
        <v>115000</v>
      </c>
      <c r="F6" s="73">
        <v>115000</v>
      </c>
      <c r="G6" s="161"/>
      <c r="H6" s="162"/>
      <c r="I6" s="158"/>
    </row>
    <row r="7" spans="1:9" ht="28.5" x14ac:dyDescent="0.45">
      <c r="B7" s="216">
        <v>16.3</v>
      </c>
      <c r="C7" s="219" t="s">
        <v>480</v>
      </c>
      <c r="D7" s="342"/>
      <c r="E7" s="217">
        <v>0</v>
      </c>
      <c r="F7" s="217">
        <v>0</v>
      </c>
      <c r="G7" s="218" t="s">
        <v>517</v>
      </c>
      <c r="H7" s="220" t="s">
        <v>518</v>
      </c>
    </row>
    <row r="10" spans="1:9" x14ac:dyDescent="0.45">
      <c r="B10" s="18"/>
      <c r="E10" s="21"/>
      <c r="F10" s="21"/>
      <c r="G10" s="303" t="s">
        <v>519</v>
      </c>
    </row>
    <row r="11" spans="1:9" x14ac:dyDescent="0.45">
      <c r="A11" s="19"/>
    </row>
    <row r="13" spans="1:9" x14ac:dyDescent="0.45">
      <c r="A13" s="19"/>
    </row>
    <row r="14" spans="1:9" x14ac:dyDescent="0.45">
      <c r="A14" s="28"/>
    </row>
    <row r="15" spans="1:9" x14ac:dyDescent="0.45">
      <c r="A15" s="29"/>
      <c r="C15" s="1"/>
      <c r="D15" s="1"/>
    </row>
    <row r="16" spans="1:9" x14ac:dyDescent="0.45">
      <c r="A16" s="28"/>
      <c r="C16" s="1"/>
      <c r="D16" s="1"/>
    </row>
    <row r="17" spans="1:4" x14ac:dyDescent="0.45">
      <c r="A17" s="28"/>
      <c r="C17" s="1"/>
      <c r="D17" s="1"/>
    </row>
    <row r="18" spans="1:4" x14ac:dyDescent="0.45">
      <c r="A18" s="28"/>
    </row>
    <row r="19" spans="1:4" x14ac:dyDescent="0.45">
      <c r="A19" s="30"/>
    </row>
    <row r="20" spans="1:4" x14ac:dyDescent="0.45">
      <c r="A20" s="31"/>
    </row>
    <row r="21" spans="1:4" x14ac:dyDescent="0.45">
      <c r="A21" s="31"/>
    </row>
    <row r="22" spans="1:4" x14ac:dyDescent="0.45">
      <c r="A22" s="32"/>
    </row>
    <row r="23" spans="1:4" x14ac:dyDescent="0.45">
      <c r="A23" s="31"/>
    </row>
    <row r="24" spans="1:4" x14ac:dyDescent="0.45">
      <c r="A24" s="30"/>
    </row>
    <row r="25" spans="1:4" x14ac:dyDescent="0.45">
      <c r="A25" s="31"/>
    </row>
    <row r="26" spans="1:4" x14ac:dyDescent="0.45">
      <c r="A26" s="31"/>
    </row>
    <row r="27" spans="1:4" x14ac:dyDescent="0.45">
      <c r="A27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1E48-3E88-4BED-8370-E624A36F2C40}">
  <dimension ref="A1:H27"/>
  <sheetViews>
    <sheetView showGridLines="0" workbookViewId="0">
      <selection activeCell="D6" sqref="D6"/>
    </sheetView>
  </sheetViews>
  <sheetFormatPr defaultColWidth="11.3984375" defaultRowHeight="14.25" x14ac:dyDescent="0.45"/>
  <cols>
    <col min="3" max="4" width="29.73046875" customWidth="1"/>
    <col min="7" max="7" width="37.73046875" customWidth="1"/>
    <col min="8" max="8" width="46.73046875" customWidth="1"/>
  </cols>
  <sheetData>
    <row r="1" spans="1:8" x14ac:dyDescent="0.45">
      <c r="A1" s="414" t="s">
        <v>520</v>
      </c>
      <c r="B1" s="414"/>
      <c r="C1" s="414"/>
      <c r="D1" s="414"/>
      <c r="E1" s="414"/>
      <c r="F1" s="414"/>
    </row>
    <row r="4" spans="1:8" ht="28.5" x14ac:dyDescent="0.45">
      <c r="B4" s="141" t="s">
        <v>419</v>
      </c>
      <c r="C4" s="141" t="s">
        <v>420</v>
      </c>
      <c r="D4" s="144">
        <v>2023</v>
      </c>
      <c r="E4" s="144" t="s">
        <v>8</v>
      </c>
      <c r="F4" s="144" t="s">
        <v>9</v>
      </c>
      <c r="G4" s="144" t="s">
        <v>213</v>
      </c>
      <c r="H4" s="148" t="s">
        <v>214</v>
      </c>
    </row>
    <row r="5" spans="1:8" ht="75" customHeight="1" x14ac:dyDescent="0.45">
      <c r="B5" s="72">
        <v>17</v>
      </c>
      <c r="C5" s="72" t="s">
        <v>191</v>
      </c>
      <c r="D5" s="87">
        <v>2500</v>
      </c>
      <c r="E5" s="87">
        <v>2500</v>
      </c>
      <c r="F5" s="87">
        <v>2500</v>
      </c>
      <c r="G5" s="17"/>
      <c r="H5" s="147"/>
    </row>
    <row r="6" spans="1:8" x14ac:dyDescent="0.45">
      <c r="B6" s="18"/>
      <c r="C6" s="18"/>
      <c r="D6" s="18"/>
      <c r="G6" s="16"/>
    </row>
    <row r="8" spans="1:8" x14ac:dyDescent="0.45">
      <c r="G8" s="299" t="s">
        <v>519</v>
      </c>
    </row>
    <row r="11" spans="1:8" x14ac:dyDescent="0.45">
      <c r="A11" s="19"/>
    </row>
    <row r="13" spans="1:8" x14ac:dyDescent="0.45">
      <c r="A13" s="19"/>
    </row>
    <row r="14" spans="1:8" x14ac:dyDescent="0.45">
      <c r="A14" s="28"/>
    </row>
    <row r="15" spans="1:8" x14ac:dyDescent="0.45">
      <c r="A15" s="29"/>
    </row>
    <row r="16" spans="1:8" x14ac:dyDescent="0.45">
      <c r="A16" s="28"/>
    </row>
    <row r="17" spans="1:1" x14ac:dyDescent="0.45">
      <c r="A17" s="28"/>
    </row>
    <row r="18" spans="1:1" x14ac:dyDescent="0.45">
      <c r="A18" s="28"/>
    </row>
    <row r="19" spans="1:1" x14ac:dyDescent="0.45">
      <c r="A19" s="30"/>
    </row>
    <row r="20" spans="1:1" x14ac:dyDescent="0.45">
      <c r="A20" s="31"/>
    </row>
    <row r="21" spans="1:1" x14ac:dyDescent="0.45">
      <c r="A21" s="31"/>
    </row>
    <row r="22" spans="1:1" x14ac:dyDescent="0.45">
      <c r="A22" s="32"/>
    </row>
    <row r="23" spans="1:1" x14ac:dyDescent="0.45">
      <c r="A23" s="31"/>
    </row>
    <row r="24" spans="1:1" x14ac:dyDescent="0.45">
      <c r="A24" s="30"/>
    </row>
    <row r="25" spans="1:1" x14ac:dyDescent="0.45">
      <c r="A25" s="31"/>
    </row>
    <row r="26" spans="1:1" x14ac:dyDescent="0.45">
      <c r="A26" s="31"/>
    </row>
    <row r="27" spans="1:1" x14ac:dyDescent="0.45">
      <c r="A27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5178-3475-4649-9569-192F7F71A840}">
  <dimension ref="A1:G27"/>
  <sheetViews>
    <sheetView showGridLines="0" workbookViewId="0">
      <selection activeCell="F30" sqref="F30"/>
    </sheetView>
  </sheetViews>
  <sheetFormatPr defaultColWidth="11.3984375" defaultRowHeight="14.25" x14ac:dyDescent="0.45"/>
  <cols>
    <col min="3" max="3" width="29.73046875" customWidth="1"/>
    <col min="6" max="6" width="37.73046875" customWidth="1"/>
    <col min="7" max="7" width="46" customWidth="1"/>
  </cols>
  <sheetData>
    <row r="1" spans="1:7" x14ac:dyDescent="0.45">
      <c r="A1" s="414" t="s">
        <v>521</v>
      </c>
      <c r="B1" s="414"/>
      <c r="C1" s="414"/>
      <c r="D1" s="414"/>
      <c r="E1" s="414"/>
    </row>
    <row r="4" spans="1:7" ht="28.5" x14ac:dyDescent="0.45">
      <c r="B4" s="141" t="s">
        <v>419</v>
      </c>
      <c r="C4" s="141" t="s">
        <v>420</v>
      </c>
      <c r="D4" s="144" t="s">
        <v>8</v>
      </c>
      <c r="E4" s="144" t="s">
        <v>9</v>
      </c>
      <c r="F4" s="144" t="s">
        <v>213</v>
      </c>
      <c r="G4" s="144" t="s">
        <v>214</v>
      </c>
    </row>
    <row r="5" spans="1:7" ht="75" customHeight="1" x14ac:dyDescent="0.45">
      <c r="B5" s="72">
        <v>18</v>
      </c>
      <c r="C5" s="72" t="s">
        <v>522</v>
      </c>
      <c r="D5" s="87">
        <v>0</v>
      </c>
      <c r="E5" s="87">
        <v>0</v>
      </c>
      <c r="F5" s="17" t="s">
        <v>523</v>
      </c>
      <c r="G5" s="147" t="s">
        <v>524</v>
      </c>
    </row>
    <row r="6" spans="1:7" x14ac:dyDescent="0.45">
      <c r="B6" s="18"/>
      <c r="C6" s="18"/>
      <c r="F6" s="16"/>
    </row>
    <row r="11" spans="1:7" x14ac:dyDescent="0.45">
      <c r="A11" s="19"/>
    </row>
    <row r="13" spans="1:7" x14ac:dyDescent="0.45">
      <c r="A13" s="19"/>
    </row>
    <row r="14" spans="1:7" x14ac:dyDescent="0.45">
      <c r="A14" s="28"/>
    </row>
    <row r="15" spans="1:7" x14ac:dyDescent="0.45">
      <c r="A15" s="29"/>
    </row>
    <row r="16" spans="1:7" x14ac:dyDescent="0.45">
      <c r="A16" s="28"/>
    </row>
    <row r="17" spans="1:1" x14ac:dyDescent="0.45">
      <c r="A17" s="28"/>
    </row>
    <row r="18" spans="1:1" x14ac:dyDescent="0.45">
      <c r="A18" s="28"/>
    </row>
    <row r="19" spans="1:1" x14ac:dyDescent="0.45">
      <c r="A19" s="30"/>
    </row>
    <row r="20" spans="1:1" x14ac:dyDescent="0.45">
      <c r="A20" s="31"/>
    </row>
    <row r="21" spans="1:1" x14ac:dyDescent="0.45">
      <c r="A21" s="31"/>
    </row>
    <row r="22" spans="1:1" x14ac:dyDescent="0.45">
      <c r="A22" s="32"/>
    </row>
    <row r="23" spans="1:1" x14ac:dyDescent="0.45">
      <c r="A23" s="31"/>
    </row>
    <row r="24" spans="1:1" x14ac:dyDescent="0.45">
      <c r="A24" s="30"/>
    </row>
    <row r="25" spans="1:1" x14ac:dyDescent="0.45">
      <c r="A25" s="31"/>
    </row>
    <row r="26" spans="1:1" x14ac:dyDescent="0.45">
      <c r="A26" s="31"/>
    </row>
    <row r="27" spans="1:1" x14ac:dyDescent="0.45">
      <c r="A27" s="3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4E06-2CFB-4BC8-AF98-A8D85A4A8FEF}">
  <dimension ref="A1:I11"/>
  <sheetViews>
    <sheetView showGridLines="0" zoomScale="130" zoomScaleNormal="130" workbookViewId="0">
      <selection activeCell="D4" sqref="D4"/>
    </sheetView>
  </sheetViews>
  <sheetFormatPr defaultColWidth="11.3984375" defaultRowHeight="14.25" x14ac:dyDescent="0.45"/>
  <cols>
    <col min="1" max="1" width="17.1328125" customWidth="1"/>
    <col min="2" max="2" width="12.73046875" customWidth="1"/>
    <col min="3" max="3" width="31.73046875" customWidth="1"/>
    <col min="4" max="4" width="16.73046875" customWidth="1"/>
    <col min="5" max="5" width="14.265625" bestFit="1" customWidth="1"/>
    <col min="6" max="6" width="112.265625" customWidth="1"/>
    <col min="7" max="7" width="72.1328125" customWidth="1"/>
    <col min="8" max="8" width="24.86328125" customWidth="1"/>
  </cols>
  <sheetData>
    <row r="1" spans="1:9" x14ac:dyDescent="0.45">
      <c r="A1" s="405" t="s">
        <v>210</v>
      </c>
      <c r="B1" s="405"/>
      <c r="C1" s="405"/>
      <c r="D1" s="405"/>
      <c r="E1" s="405"/>
    </row>
    <row r="3" spans="1:9" ht="28.5" x14ac:dyDescent="0.45">
      <c r="B3" s="141" t="s">
        <v>211</v>
      </c>
      <c r="C3" s="141" t="s">
        <v>212</v>
      </c>
      <c r="D3" s="144">
        <v>2023</v>
      </c>
      <c r="E3" s="74" t="s">
        <v>8</v>
      </c>
      <c r="F3" s="74" t="s">
        <v>213</v>
      </c>
      <c r="G3" s="74" t="s">
        <v>214</v>
      </c>
      <c r="I3" s="18"/>
    </row>
    <row r="4" spans="1:9" ht="141" customHeight="1" x14ac:dyDescent="0.45">
      <c r="B4" s="72">
        <v>1.1000000000000001</v>
      </c>
      <c r="C4" s="72" t="s">
        <v>215</v>
      </c>
      <c r="D4" s="87">
        <f>(23000*48*12)+(23000*12.15*12)</f>
        <v>16601400</v>
      </c>
      <c r="E4" s="87">
        <f>(21000*48*12)</f>
        <v>12096000</v>
      </c>
      <c r="F4" s="17" t="s">
        <v>612</v>
      </c>
      <c r="G4" s="17" t="s">
        <v>613</v>
      </c>
      <c r="I4" s="11"/>
    </row>
    <row r="5" spans="1:9" ht="75" customHeight="1" x14ac:dyDescent="0.45">
      <c r="B5" s="72">
        <v>1.2</v>
      </c>
      <c r="C5" s="90" t="s">
        <v>611</v>
      </c>
      <c r="D5" s="90"/>
      <c r="E5" s="87">
        <v>0</v>
      </c>
      <c r="F5" s="17"/>
      <c r="G5" s="17"/>
    </row>
    <row r="6" spans="1:9" ht="28.5" x14ac:dyDescent="0.45">
      <c r="B6" s="72">
        <v>1.3</v>
      </c>
      <c r="C6" s="90" t="s">
        <v>216</v>
      </c>
      <c r="D6" s="90"/>
      <c r="E6" s="87">
        <v>550000</v>
      </c>
      <c r="F6" s="17" t="s">
        <v>217</v>
      </c>
      <c r="G6" s="17" t="s">
        <v>218</v>
      </c>
    </row>
    <row r="7" spans="1:9" ht="100.15" customHeight="1" x14ac:dyDescent="0.45">
      <c r="B7" s="72">
        <v>1.4</v>
      </c>
      <c r="C7" s="90" t="s">
        <v>219</v>
      </c>
      <c r="D7" s="90"/>
      <c r="E7" s="87">
        <v>0</v>
      </c>
      <c r="F7" s="17"/>
      <c r="G7" s="17"/>
    </row>
    <row r="8" spans="1:9" ht="100.15" customHeight="1" x14ac:dyDescent="0.45">
      <c r="B8" s="72">
        <v>1.5</v>
      </c>
      <c r="C8" s="90" t="s">
        <v>614</v>
      </c>
      <c r="D8" s="87">
        <v>400000</v>
      </c>
      <c r="E8" s="87">
        <v>0</v>
      </c>
      <c r="F8" s="17" t="s">
        <v>615</v>
      </c>
      <c r="G8" s="17" t="s">
        <v>616</v>
      </c>
    </row>
    <row r="11" spans="1:9" x14ac:dyDescent="0.45">
      <c r="A11" s="19"/>
      <c r="C11" s="19"/>
      <c r="D11" s="19"/>
      <c r="E11" s="16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FA49-F460-4CE7-99E0-4A413374AD40}">
  <dimension ref="A1:H26"/>
  <sheetViews>
    <sheetView showGridLines="0" workbookViewId="0">
      <selection activeCell="D6" sqref="D6"/>
    </sheetView>
  </sheetViews>
  <sheetFormatPr defaultColWidth="11.3984375" defaultRowHeight="14.25" x14ac:dyDescent="0.45"/>
  <cols>
    <col min="3" max="4" width="29.73046875" customWidth="1"/>
    <col min="5" max="5" width="12.73046875" bestFit="1" customWidth="1"/>
    <col min="6" max="6" width="30.59765625" customWidth="1"/>
    <col min="7" max="7" width="50.3984375" customWidth="1"/>
    <col min="8" max="8" width="43.3984375" customWidth="1"/>
  </cols>
  <sheetData>
    <row r="1" spans="1:8" x14ac:dyDescent="0.45">
      <c r="A1" s="414" t="s">
        <v>525</v>
      </c>
      <c r="B1" s="414"/>
      <c r="C1" s="414"/>
      <c r="D1" s="414"/>
      <c r="E1" s="414"/>
      <c r="F1" s="414"/>
    </row>
    <row r="4" spans="1:8" ht="28.5" x14ac:dyDescent="0.45">
      <c r="B4" s="144" t="s">
        <v>419</v>
      </c>
      <c r="C4" s="144" t="s">
        <v>420</v>
      </c>
      <c r="D4" s="144">
        <v>2023</v>
      </c>
      <c r="E4" s="74" t="s">
        <v>8</v>
      </c>
      <c r="F4" s="74" t="s">
        <v>9</v>
      </c>
      <c r="G4" s="74" t="s">
        <v>213</v>
      </c>
      <c r="H4" s="74" t="s">
        <v>214</v>
      </c>
    </row>
    <row r="5" spans="1:8" ht="75" customHeight="1" x14ac:dyDescent="0.45">
      <c r="B5" s="72">
        <v>19.100000000000001</v>
      </c>
      <c r="C5" s="72" t="s">
        <v>526</v>
      </c>
      <c r="D5" s="86">
        <v>300000</v>
      </c>
      <c r="E5" s="86">
        <v>300000</v>
      </c>
      <c r="F5" s="86">
        <v>300000</v>
      </c>
      <c r="G5" s="161" t="s">
        <v>347</v>
      </c>
      <c r="H5" s="162" t="s">
        <v>348</v>
      </c>
    </row>
    <row r="6" spans="1:8" ht="28.5" x14ac:dyDescent="0.45">
      <c r="B6" s="72">
        <v>19.2</v>
      </c>
      <c r="C6" s="72" t="s">
        <v>527</v>
      </c>
      <c r="D6" s="73">
        <v>150000</v>
      </c>
      <c r="E6" s="73">
        <v>150000</v>
      </c>
      <c r="F6" s="73">
        <v>150000</v>
      </c>
      <c r="G6" s="161" t="s">
        <v>347</v>
      </c>
      <c r="H6" s="162" t="s">
        <v>348</v>
      </c>
    </row>
    <row r="9" spans="1:8" x14ac:dyDescent="0.45">
      <c r="F9" s="299"/>
    </row>
    <row r="10" spans="1:8" x14ac:dyDescent="0.45">
      <c r="A10" s="19"/>
    </row>
    <row r="12" spans="1:8" x14ac:dyDescent="0.45">
      <c r="A12" s="19"/>
    </row>
    <row r="13" spans="1:8" x14ac:dyDescent="0.45">
      <c r="A13" s="28"/>
    </row>
    <row r="14" spans="1:8" x14ac:dyDescent="0.45">
      <c r="A14" s="29"/>
    </row>
    <row r="15" spans="1:8" x14ac:dyDescent="0.45">
      <c r="A15" s="28"/>
    </row>
    <row r="16" spans="1:8" x14ac:dyDescent="0.45">
      <c r="A16" s="28"/>
    </row>
    <row r="17" spans="1:1" x14ac:dyDescent="0.45">
      <c r="A17" s="28"/>
    </row>
    <row r="18" spans="1:1" x14ac:dyDescent="0.45">
      <c r="A18" s="30"/>
    </row>
    <row r="19" spans="1:1" x14ac:dyDescent="0.45">
      <c r="A19" s="31"/>
    </row>
    <row r="20" spans="1:1" x14ac:dyDescent="0.45">
      <c r="A20" s="31"/>
    </row>
    <row r="21" spans="1:1" x14ac:dyDescent="0.45">
      <c r="A21" s="32"/>
    </row>
    <row r="22" spans="1:1" x14ac:dyDescent="0.45">
      <c r="A22" s="31"/>
    </row>
    <row r="23" spans="1:1" x14ac:dyDescent="0.45">
      <c r="A23" s="30"/>
    </row>
    <row r="24" spans="1:1" x14ac:dyDescent="0.45">
      <c r="A24" s="31"/>
    </row>
    <row r="25" spans="1:1" x14ac:dyDescent="0.45">
      <c r="A25" s="31"/>
    </row>
    <row r="26" spans="1:1" x14ac:dyDescent="0.45">
      <c r="A26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CA76-E27D-4D5F-916A-564F5FB4970D}">
  <sheetPr>
    <tabColor rgb="FF92D050"/>
  </sheetPr>
  <dimension ref="A1:G37"/>
  <sheetViews>
    <sheetView showGridLines="0" workbookViewId="0">
      <selection activeCell="G13" sqref="G13"/>
    </sheetView>
  </sheetViews>
  <sheetFormatPr defaultColWidth="11.3984375" defaultRowHeight="14.25" x14ac:dyDescent="0.45"/>
  <cols>
    <col min="3" max="3" width="33.3984375" customWidth="1"/>
    <col min="4" max="4" width="14.265625" bestFit="1" customWidth="1"/>
    <col min="5" max="5" width="17.3984375" customWidth="1"/>
    <col min="6" max="6" width="84.73046875" customWidth="1"/>
    <col min="7" max="7" width="44" customWidth="1"/>
  </cols>
  <sheetData>
    <row r="1" spans="1:7" x14ac:dyDescent="0.45">
      <c r="A1" s="414" t="s">
        <v>528</v>
      </c>
      <c r="B1" s="414"/>
      <c r="C1" s="414"/>
      <c r="D1" s="414"/>
      <c r="E1" s="414"/>
    </row>
    <row r="3" spans="1:7" ht="28.5" x14ac:dyDescent="0.45">
      <c r="B3" s="144" t="s">
        <v>419</v>
      </c>
      <c r="C3" s="144" t="s">
        <v>420</v>
      </c>
      <c r="D3" s="74" t="s">
        <v>8</v>
      </c>
      <c r="E3" s="74" t="s">
        <v>9</v>
      </c>
      <c r="F3" s="74" t="s">
        <v>213</v>
      </c>
      <c r="G3" s="74" t="s">
        <v>214</v>
      </c>
    </row>
    <row r="4" spans="1:7" ht="84.75" customHeight="1" x14ac:dyDescent="0.45">
      <c r="B4" s="72">
        <v>21.1</v>
      </c>
      <c r="C4" s="90" t="s">
        <v>529</v>
      </c>
      <c r="D4" s="86"/>
      <c r="E4" s="87"/>
      <c r="F4" s="17" t="s">
        <v>530</v>
      </c>
      <c r="G4" s="147" t="s">
        <v>531</v>
      </c>
    </row>
    <row r="5" spans="1:7" ht="59.65" customHeight="1" x14ac:dyDescent="0.45">
      <c r="B5" s="72">
        <v>21.2</v>
      </c>
      <c r="C5" s="90" t="s">
        <v>532</v>
      </c>
      <c r="D5" s="88"/>
      <c r="E5" s="87"/>
      <c r="F5" s="17"/>
      <c r="G5" s="147"/>
    </row>
    <row r="6" spans="1:7" ht="29.65" customHeight="1" x14ac:dyDescent="0.45">
      <c r="B6" s="72">
        <v>21.3</v>
      </c>
      <c r="C6" s="90" t="s">
        <v>533</v>
      </c>
      <c r="D6" s="25"/>
      <c r="E6" s="25"/>
      <c r="F6" s="17" t="s">
        <v>534</v>
      </c>
      <c r="G6" s="147" t="s">
        <v>535</v>
      </c>
    </row>
    <row r="7" spans="1:7" ht="49.9" customHeight="1" x14ac:dyDescent="0.45">
      <c r="B7" s="72">
        <v>21.4</v>
      </c>
      <c r="C7" s="90" t="s">
        <v>536</v>
      </c>
      <c r="D7" s="88"/>
      <c r="E7" s="87"/>
      <c r="F7" s="17"/>
      <c r="G7" s="147"/>
    </row>
    <row r="8" spans="1:7" ht="49.9" customHeight="1" x14ac:dyDescent="0.45">
      <c r="B8" s="18"/>
      <c r="C8" s="18"/>
      <c r="D8" s="24"/>
      <c r="E8" s="23"/>
      <c r="F8" s="16"/>
      <c r="G8" s="16"/>
    </row>
    <row r="9" spans="1:7" ht="49.9" customHeight="1" x14ac:dyDescent="0.45">
      <c r="B9" s="19"/>
      <c r="G9" s="16"/>
    </row>
    <row r="10" spans="1:7" ht="49.9" customHeight="1" x14ac:dyDescent="0.45">
      <c r="G10" s="16"/>
    </row>
    <row r="11" spans="1:7" ht="49.9" customHeight="1" x14ac:dyDescent="0.45">
      <c r="G11" s="16"/>
    </row>
    <row r="12" spans="1:7" ht="49.9" customHeight="1" x14ac:dyDescent="0.45">
      <c r="G12" s="16"/>
    </row>
    <row r="13" spans="1:7" ht="49.9" customHeight="1" x14ac:dyDescent="0.45">
      <c r="B13" s="21"/>
      <c r="G13" s="16"/>
    </row>
    <row r="14" spans="1:7" ht="49.9" customHeight="1" x14ac:dyDescent="0.45">
      <c r="B14" t="s">
        <v>537</v>
      </c>
      <c r="G14" s="16"/>
    </row>
    <row r="15" spans="1:7" ht="49.9" customHeight="1" x14ac:dyDescent="0.45">
      <c r="G15" s="16"/>
    </row>
    <row r="16" spans="1:7" ht="49.9" customHeight="1" x14ac:dyDescent="0.45">
      <c r="B16" s="21" t="s">
        <v>538</v>
      </c>
      <c r="G16" s="16"/>
    </row>
    <row r="17" spans="1:7" ht="49.9" customHeight="1" x14ac:dyDescent="0.45">
      <c r="B17" t="s">
        <v>539</v>
      </c>
      <c r="G17" s="16"/>
    </row>
    <row r="18" spans="1:7" ht="57" customHeight="1" x14ac:dyDescent="0.45">
      <c r="A18" s="18"/>
      <c r="G18" s="16"/>
    </row>
    <row r="19" spans="1:7" x14ac:dyDescent="0.45">
      <c r="B19" s="18"/>
      <c r="C19" s="18"/>
      <c r="D19" s="24"/>
      <c r="F19" s="16"/>
      <c r="G19" s="16"/>
    </row>
    <row r="20" spans="1:7" x14ac:dyDescent="0.45">
      <c r="B20" s="18"/>
      <c r="C20" s="18"/>
      <c r="F20" s="16"/>
      <c r="G20" s="16"/>
    </row>
    <row r="21" spans="1:7" x14ac:dyDescent="0.45">
      <c r="C21" s="19"/>
    </row>
    <row r="24" spans="1:7" x14ac:dyDescent="0.45">
      <c r="A24" s="28"/>
    </row>
    <row r="25" spans="1:7" x14ac:dyDescent="0.45">
      <c r="A25" s="29"/>
    </row>
    <row r="26" spans="1:7" x14ac:dyDescent="0.45">
      <c r="A26" s="28"/>
    </row>
    <row r="27" spans="1:7" x14ac:dyDescent="0.45">
      <c r="A27" s="28"/>
    </row>
    <row r="28" spans="1:7" x14ac:dyDescent="0.45">
      <c r="A28" s="28"/>
    </row>
    <row r="29" spans="1:7" x14ac:dyDescent="0.45">
      <c r="A29" s="30"/>
    </row>
    <row r="30" spans="1:7" x14ac:dyDescent="0.45">
      <c r="A30" s="31"/>
    </row>
    <row r="31" spans="1:7" x14ac:dyDescent="0.45">
      <c r="A31" s="31"/>
    </row>
    <row r="32" spans="1:7" x14ac:dyDescent="0.45">
      <c r="A32" s="32"/>
    </row>
    <row r="33" spans="1:1" x14ac:dyDescent="0.45">
      <c r="A33" s="31"/>
    </row>
    <row r="34" spans="1:1" x14ac:dyDescent="0.45">
      <c r="A34" s="30"/>
    </row>
    <row r="35" spans="1:1" x14ac:dyDescent="0.45">
      <c r="A35" s="31"/>
    </row>
    <row r="36" spans="1:1" x14ac:dyDescent="0.45">
      <c r="A36" s="31"/>
    </row>
    <row r="37" spans="1:1" x14ac:dyDescent="0.45">
      <c r="A37" s="3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15DB-B14A-4AAC-81B3-83ED094D97D1}">
  <sheetPr>
    <tabColor rgb="FF92D050"/>
  </sheetPr>
  <dimension ref="A1:O25"/>
  <sheetViews>
    <sheetView showGridLines="0" topLeftCell="E13" zoomScale="85" zoomScaleNormal="85" workbookViewId="0">
      <selection activeCell="K23" sqref="K23"/>
    </sheetView>
  </sheetViews>
  <sheetFormatPr defaultColWidth="11.3984375" defaultRowHeight="14.25" x14ac:dyDescent="0.45"/>
  <cols>
    <col min="2" max="2" width="24" customWidth="1"/>
    <col min="3" max="3" width="17.86328125" customWidth="1"/>
    <col min="4" max="4" width="12.59765625" customWidth="1"/>
    <col min="5" max="5" width="21.59765625" customWidth="1"/>
    <col min="6" max="6" width="20.265625" customWidth="1"/>
    <col min="7" max="7" width="58.73046875" customWidth="1"/>
    <col min="8" max="8" width="61.265625" customWidth="1"/>
    <col min="9" max="9" width="22.86328125" customWidth="1"/>
    <col min="11" max="11" width="13.265625" customWidth="1"/>
    <col min="12" max="12" width="21.73046875" customWidth="1"/>
    <col min="13" max="13" width="16" customWidth="1"/>
    <col min="14" max="14" width="11.73046875" customWidth="1"/>
  </cols>
  <sheetData>
    <row r="1" spans="1:15" x14ac:dyDescent="0.45">
      <c r="A1" s="414" t="s">
        <v>540</v>
      </c>
      <c r="B1" s="414"/>
      <c r="C1" s="414"/>
      <c r="D1" s="414"/>
      <c r="E1" s="414"/>
      <c r="F1" s="414"/>
    </row>
    <row r="3" spans="1:15" ht="42.75" x14ac:dyDescent="0.45">
      <c r="B3" s="74" t="s">
        <v>419</v>
      </c>
      <c r="C3" s="144" t="s">
        <v>420</v>
      </c>
      <c r="D3" s="145" t="s">
        <v>7</v>
      </c>
      <c r="E3" s="155" t="s">
        <v>541</v>
      </c>
      <c r="F3" s="406" t="s">
        <v>213</v>
      </c>
      <c r="G3" s="408"/>
      <c r="H3" s="146" t="s">
        <v>214</v>
      </c>
    </row>
    <row r="4" spans="1:15" ht="109.9" customHeight="1" x14ac:dyDescent="0.45">
      <c r="B4" s="72">
        <v>20</v>
      </c>
      <c r="C4" s="90" t="s">
        <v>542</v>
      </c>
      <c r="D4" s="88">
        <f>ROUNDUP(M16,-4)</f>
        <v>80000</v>
      </c>
      <c r="E4" s="88">
        <f>ROUNDUP(M25,-4)</f>
        <v>110000</v>
      </c>
      <c r="F4" s="417" t="s">
        <v>543</v>
      </c>
      <c r="G4" s="418"/>
      <c r="H4" s="143" t="s">
        <v>544</v>
      </c>
    </row>
    <row r="8" spans="1:15" ht="14.65" thickBot="1" x14ac:dyDescent="0.5">
      <c r="B8" s="19"/>
    </row>
    <row r="9" spans="1:15" ht="72.75" customHeight="1" x14ac:dyDescent="0.45">
      <c r="B9" s="114"/>
      <c r="C9" s="115"/>
      <c r="D9" s="115"/>
      <c r="E9" s="115"/>
      <c r="F9" s="115" t="s">
        <v>545</v>
      </c>
      <c r="G9" s="116" t="s">
        <v>546</v>
      </c>
      <c r="H9" s="117" t="s">
        <v>547</v>
      </c>
      <c r="I9" s="118" t="s">
        <v>548</v>
      </c>
      <c r="J9" s="117" t="s">
        <v>549</v>
      </c>
      <c r="K9" s="117" t="s">
        <v>550</v>
      </c>
      <c r="L9" s="117" t="s">
        <v>551</v>
      </c>
      <c r="M9" s="117" t="s">
        <v>552</v>
      </c>
      <c r="N9" s="117" t="s">
        <v>553</v>
      </c>
      <c r="O9" s="119" t="s">
        <v>554</v>
      </c>
    </row>
    <row r="10" spans="1:15" ht="85.5" x14ac:dyDescent="0.45">
      <c r="B10" s="422" t="s">
        <v>555</v>
      </c>
      <c r="C10" s="423"/>
      <c r="D10" s="423"/>
      <c r="E10" s="424"/>
      <c r="F10" s="120">
        <v>5</v>
      </c>
      <c r="G10" s="132" t="s">
        <v>556</v>
      </c>
      <c r="H10" s="121">
        <f>103293.3+65000</f>
        <v>168293.3</v>
      </c>
      <c r="I10" s="135">
        <v>30000</v>
      </c>
      <c r="J10" s="121">
        <v>0</v>
      </c>
      <c r="K10" s="121">
        <f>SUM(H10:J10)</f>
        <v>198293.3</v>
      </c>
      <c r="L10" s="121">
        <v>54317.320000000007</v>
      </c>
      <c r="M10" s="121">
        <f>+H10/F10+I10/F10</f>
        <v>39658.659999999996</v>
      </c>
      <c r="N10" s="121">
        <f>SUM(L10:M10)</f>
        <v>93975.98000000001</v>
      </c>
      <c r="O10" s="121">
        <f>K10-N10</f>
        <v>104317.31999999998</v>
      </c>
    </row>
    <row r="11" spans="1:15" x14ac:dyDescent="0.45">
      <c r="B11" s="422" t="s">
        <v>557</v>
      </c>
      <c r="C11" s="423"/>
      <c r="D11" s="423"/>
      <c r="E11" s="424"/>
      <c r="F11" s="120">
        <v>5</v>
      </c>
      <c r="G11" s="132"/>
      <c r="H11" s="121">
        <f>42817.28+10000</f>
        <v>52817.279999999999</v>
      </c>
      <c r="I11" s="135"/>
      <c r="J11" s="121">
        <v>0</v>
      </c>
      <c r="K11" s="121">
        <f>SUM(H11:J11)</f>
        <v>52817.279999999999</v>
      </c>
      <c r="L11" s="121">
        <v>27287.455999999998</v>
      </c>
      <c r="M11" s="121">
        <f>+H11/F11+I11/F11</f>
        <v>10563.456</v>
      </c>
      <c r="N11" s="121">
        <f>SUM(L11:M11)</f>
        <v>37850.911999999997</v>
      </c>
      <c r="O11" s="121">
        <f>K11-N11</f>
        <v>14966.368000000002</v>
      </c>
    </row>
    <row r="12" spans="1:15" ht="71.25" x14ac:dyDescent="0.45">
      <c r="B12" s="425" t="s">
        <v>558</v>
      </c>
      <c r="C12" s="426"/>
      <c r="D12" s="426"/>
      <c r="E12" s="427"/>
      <c r="F12" s="124">
        <v>0.3</v>
      </c>
      <c r="G12" s="132" t="s">
        <v>559</v>
      </c>
      <c r="H12" s="121">
        <v>1047674.51</v>
      </c>
      <c r="I12" s="136">
        <v>50000</v>
      </c>
      <c r="J12" s="25">
        <v>0</v>
      </c>
      <c r="K12" s="121">
        <f>SUM(H12:J12)</f>
        <v>1097674.51</v>
      </c>
      <c r="L12" s="125">
        <v>1000053.33</v>
      </c>
      <c r="M12" s="121">
        <f>(H12-L12)*0.3</f>
        <v>14286.354000000016</v>
      </c>
      <c r="N12" s="125">
        <f>SUM(L12:M12)</f>
        <v>1014339.684</v>
      </c>
      <c r="O12" s="121">
        <f>K12-N12</f>
        <v>83334.826000000001</v>
      </c>
    </row>
    <row r="13" spans="1:15" ht="28.9" customHeight="1" x14ac:dyDescent="0.45">
      <c r="B13" s="425" t="s">
        <v>532</v>
      </c>
      <c r="C13" s="426"/>
      <c r="D13" s="426"/>
      <c r="E13" s="427"/>
      <c r="F13" s="123" t="s">
        <v>560</v>
      </c>
      <c r="G13" s="25"/>
      <c r="H13" s="25"/>
      <c r="I13" s="25"/>
      <c r="J13" s="25"/>
      <c r="K13" s="121">
        <f>SUM(H13:J13)</f>
        <v>0</v>
      </c>
      <c r="L13" s="25"/>
      <c r="M13" s="25"/>
      <c r="N13" s="125"/>
      <c r="O13" s="121">
        <f>K13-N13</f>
        <v>0</v>
      </c>
    </row>
    <row r="14" spans="1:15" ht="85.5" x14ac:dyDescent="0.45">
      <c r="B14" s="425" t="s">
        <v>533</v>
      </c>
      <c r="C14" s="426"/>
      <c r="D14" s="426"/>
      <c r="E14" s="427"/>
      <c r="F14" s="123">
        <v>3</v>
      </c>
      <c r="G14" s="17" t="s">
        <v>561</v>
      </c>
      <c r="H14" s="134">
        <v>0</v>
      </c>
      <c r="I14" s="134">
        <v>30000</v>
      </c>
      <c r="J14" s="25">
        <v>0</v>
      </c>
      <c r="K14" s="121">
        <f>SUM(H14:J14)</f>
        <v>30000</v>
      </c>
      <c r="L14" s="25">
        <v>0</v>
      </c>
      <c r="M14" s="126">
        <f>+H14/F14+I14/F14</f>
        <v>10000</v>
      </c>
      <c r="N14" s="125">
        <f>SUM(L14:M14)</f>
        <v>10000</v>
      </c>
      <c r="O14" s="121">
        <f>K14-N14</f>
        <v>20000</v>
      </c>
    </row>
    <row r="16" spans="1:15" ht="14.65" thickBot="1" x14ac:dyDescent="0.5">
      <c r="L16" s="112"/>
      <c r="M16" s="113">
        <f t="shared" ref="M16" si="0">SUM(M10:M14)</f>
        <v>74508.47</v>
      </c>
    </row>
    <row r="17" spans="2:15" ht="14.65" thickBot="1" x14ac:dyDescent="0.5">
      <c r="B17" s="419" t="s">
        <v>562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1"/>
    </row>
    <row r="18" spans="2:15" ht="85.5" x14ac:dyDescent="0.45">
      <c r="B18" s="114"/>
      <c r="C18" s="115"/>
      <c r="D18" s="115"/>
      <c r="E18" s="115"/>
      <c r="F18" s="115" t="s">
        <v>545</v>
      </c>
      <c r="G18" s="116" t="s">
        <v>546</v>
      </c>
      <c r="H18" s="117" t="s">
        <v>547</v>
      </c>
      <c r="I18" s="118" t="s">
        <v>548</v>
      </c>
      <c r="J18" s="117" t="s">
        <v>549</v>
      </c>
      <c r="K18" s="117" t="s">
        <v>550</v>
      </c>
      <c r="L18" s="117" t="s">
        <v>551</v>
      </c>
      <c r="M18" s="117" t="s">
        <v>552</v>
      </c>
      <c r="N18" s="117" t="s">
        <v>553</v>
      </c>
      <c r="O18" s="119" t="s">
        <v>554</v>
      </c>
    </row>
    <row r="19" spans="2:15" ht="99.75" x14ac:dyDescent="0.45">
      <c r="B19" s="422" t="s">
        <v>555</v>
      </c>
      <c r="C19" s="423"/>
      <c r="D19" s="423"/>
      <c r="E19" s="424"/>
      <c r="F19" s="120">
        <v>5</v>
      </c>
      <c r="G19" s="132" t="s">
        <v>563</v>
      </c>
      <c r="H19" s="121">
        <f>103293.3+65000</f>
        <v>168293.3</v>
      </c>
      <c r="I19" s="135">
        <f>30000+100000</f>
        <v>130000</v>
      </c>
      <c r="J19" s="121">
        <v>0</v>
      </c>
      <c r="K19" s="121">
        <f>SUM(H19:J19)</f>
        <v>298293.3</v>
      </c>
      <c r="L19" s="121">
        <v>54317.320000000007</v>
      </c>
      <c r="M19" s="121">
        <f>+H19/F19+I19/F19</f>
        <v>59658.659999999996</v>
      </c>
      <c r="N19" s="121">
        <f>SUM(L19:M19)</f>
        <v>113975.98000000001</v>
      </c>
      <c r="O19" s="121">
        <f>K19-N19</f>
        <v>184317.31999999998</v>
      </c>
    </row>
    <row r="20" spans="2:15" x14ac:dyDescent="0.45">
      <c r="B20" s="422" t="s">
        <v>557</v>
      </c>
      <c r="C20" s="423"/>
      <c r="D20" s="423"/>
      <c r="E20" s="424"/>
      <c r="F20" s="120">
        <v>5</v>
      </c>
      <c r="G20" s="132"/>
      <c r="H20" s="121">
        <f>42817.28+10000</f>
        <v>52817.279999999999</v>
      </c>
      <c r="I20" s="135"/>
      <c r="J20" s="121">
        <v>0</v>
      </c>
      <c r="K20" s="121">
        <f>SUM(H20:J20)</f>
        <v>52817.279999999999</v>
      </c>
      <c r="L20" s="121">
        <v>27287.455999999998</v>
      </c>
      <c r="M20" s="121">
        <f>+H20/F20+I20/F20</f>
        <v>10563.456</v>
      </c>
      <c r="N20" s="121">
        <f>SUM(L20:M20)</f>
        <v>37850.911999999997</v>
      </c>
      <c r="O20" s="121">
        <f>K20-N20</f>
        <v>14966.368000000002</v>
      </c>
    </row>
    <row r="21" spans="2:15" ht="71.25" x14ac:dyDescent="0.45">
      <c r="B21" s="425" t="s">
        <v>558</v>
      </c>
      <c r="C21" s="426"/>
      <c r="D21" s="426"/>
      <c r="E21" s="427"/>
      <c r="F21" s="124">
        <v>0.3</v>
      </c>
      <c r="G21" s="132" t="s">
        <v>564</v>
      </c>
      <c r="H21" s="213">
        <v>1047674.51</v>
      </c>
      <c r="I21" s="136">
        <f>50000+20000</f>
        <v>70000</v>
      </c>
      <c r="J21" s="25">
        <v>0</v>
      </c>
      <c r="K21" s="121">
        <f>SUM(H21:J21)</f>
        <v>1117674.51</v>
      </c>
      <c r="L21" s="125">
        <v>1000053.33</v>
      </c>
      <c r="M21" s="121">
        <f>(H21-L21)*0.3</f>
        <v>14286.354000000016</v>
      </c>
      <c r="N21" s="125">
        <f>SUM(L21:M21)</f>
        <v>1014339.684</v>
      </c>
      <c r="O21" s="121">
        <f>K21-N21</f>
        <v>103334.826</v>
      </c>
    </row>
    <row r="22" spans="2:15" ht="28.9" customHeight="1" x14ac:dyDescent="0.45">
      <c r="B22" s="425" t="s">
        <v>532</v>
      </c>
      <c r="C22" s="426"/>
      <c r="D22" s="426"/>
      <c r="E22" s="427"/>
      <c r="F22" s="123" t="s">
        <v>560</v>
      </c>
      <c r="G22" s="25"/>
      <c r="H22" s="25"/>
      <c r="I22" s="25"/>
      <c r="J22" s="25"/>
      <c r="K22" s="121">
        <f>SUM(H22:J22)</f>
        <v>0</v>
      </c>
      <c r="L22" s="25"/>
      <c r="M22" s="25"/>
      <c r="N22" s="125"/>
      <c r="O22" s="121">
        <f>K22-N22</f>
        <v>0</v>
      </c>
    </row>
    <row r="23" spans="2:15" ht="85.5" x14ac:dyDescent="0.45">
      <c r="B23" s="425" t="s">
        <v>533</v>
      </c>
      <c r="C23" s="426"/>
      <c r="D23" s="426"/>
      <c r="E23" s="427"/>
      <c r="F23" s="123">
        <v>3</v>
      </c>
      <c r="G23" s="17" t="s">
        <v>561</v>
      </c>
      <c r="H23" s="134">
        <v>0</v>
      </c>
      <c r="I23" s="134">
        <f>30000+(3700*10)</f>
        <v>67000</v>
      </c>
      <c r="J23" s="25">
        <v>0</v>
      </c>
      <c r="K23" s="121">
        <f>SUM(H23:J23)</f>
        <v>67000</v>
      </c>
      <c r="L23" s="25">
        <v>0</v>
      </c>
      <c r="M23" s="126">
        <f>+H23/F23+I23/F23</f>
        <v>22333.333333333332</v>
      </c>
      <c r="N23" s="125">
        <f>SUM(L23:M23)</f>
        <v>22333.333333333332</v>
      </c>
      <c r="O23" s="121">
        <f>K23-N23</f>
        <v>44666.666666666672</v>
      </c>
    </row>
    <row r="25" spans="2:15" x14ac:dyDescent="0.45">
      <c r="L25" s="112"/>
      <c r="M25" s="113">
        <f t="shared" ref="M25" si="1">SUM(M19:M23)</f>
        <v>106841.80333333334</v>
      </c>
    </row>
  </sheetData>
  <mergeCells count="14">
    <mergeCell ref="B19:E19"/>
    <mergeCell ref="B20:E20"/>
    <mergeCell ref="B21:E21"/>
    <mergeCell ref="B22:E22"/>
    <mergeCell ref="B23:E23"/>
    <mergeCell ref="A1:F1"/>
    <mergeCell ref="F3:G3"/>
    <mergeCell ref="F4:G4"/>
    <mergeCell ref="B17:O17"/>
    <mergeCell ref="B10:E10"/>
    <mergeCell ref="B11:E11"/>
    <mergeCell ref="B12:E12"/>
    <mergeCell ref="B13:E13"/>
    <mergeCell ref="B14:E1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6CDB-B2C5-4708-A496-E74E3D890952}">
  <dimension ref="A1:Q15"/>
  <sheetViews>
    <sheetView showGridLines="0" topLeftCell="G9" zoomScaleNormal="100" workbookViewId="0">
      <selection activeCell="J10" sqref="J10"/>
    </sheetView>
  </sheetViews>
  <sheetFormatPr defaultColWidth="11.3984375" defaultRowHeight="14.25" x14ac:dyDescent="0.45"/>
  <cols>
    <col min="2" max="2" width="24" customWidth="1"/>
    <col min="3" max="3" width="34" customWidth="1"/>
    <col min="4" max="5" width="22" customWidth="1"/>
    <col min="6" max="6" width="27.86328125" customWidth="1"/>
    <col min="7" max="7" width="58.73046875" customWidth="1"/>
    <col min="8" max="8" width="63" customWidth="1"/>
    <col min="9" max="9" width="7.1328125" customWidth="1"/>
    <col min="10" max="10" width="22.86328125" customWidth="1"/>
    <col min="12" max="12" width="17.73046875" bestFit="1" customWidth="1"/>
    <col min="13" max="13" width="20.86328125" customWidth="1"/>
    <col min="14" max="14" width="16" customWidth="1"/>
    <col min="15" max="15" width="23.3984375" customWidth="1"/>
    <col min="16" max="16" width="5" customWidth="1"/>
    <col min="17" max="17" width="18.86328125" customWidth="1"/>
  </cols>
  <sheetData>
    <row r="1" spans="1:17" x14ac:dyDescent="0.45">
      <c r="A1" s="414" t="s">
        <v>565</v>
      </c>
      <c r="B1" s="414"/>
      <c r="C1" s="414"/>
      <c r="D1" s="414"/>
      <c r="E1" s="414"/>
      <c r="F1" s="414"/>
    </row>
    <row r="3" spans="1:17" ht="28.5" x14ac:dyDescent="0.45">
      <c r="B3" s="74" t="s">
        <v>419</v>
      </c>
      <c r="C3" s="144" t="s">
        <v>420</v>
      </c>
      <c r="D3" s="145" t="s">
        <v>8</v>
      </c>
      <c r="E3" s="406" t="s">
        <v>566</v>
      </c>
      <c r="F3" s="408"/>
      <c r="G3" s="74" t="s">
        <v>214</v>
      </c>
    </row>
    <row r="4" spans="1:17" ht="109.9" customHeight="1" x14ac:dyDescent="0.45">
      <c r="B4" s="72">
        <v>20</v>
      </c>
      <c r="C4" s="90" t="s">
        <v>542</v>
      </c>
      <c r="D4" s="88">
        <f>ROUNDUP(N15,-4)</f>
        <v>250000</v>
      </c>
      <c r="E4" s="431" t="s">
        <v>543</v>
      </c>
      <c r="F4" s="418"/>
      <c r="G4" s="143" t="s">
        <v>544</v>
      </c>
    </row>
    <row r="8" spans="1:17" ht="14.65" thickBot="1" x14ac:dyDescent="0.5">
      <c r="B8" s="19"/>
    </row>
    <row r="9" spans="1:17" ht="97.15" customHeight="1" x14ac:dyDescent="0.45">
      <c r="B9" s="114"/>
      <c r="C9" s="115"/>
      <c r="D9" s="115"/>
      <c r="E9" s="115"/>
      <c r="F9" s="115" t="s">
        <v>545</v>
      </c>
      <c r="G9" s="116" t="s">
        <v>546</v>
      </c>
      <c r="H9" s="117" t="s">
        <v>547</v>
      </c>
      <c r="I9" s="117"/>
      <c r="J9" s="118" t="s">
        <v>567</v>
      </c>
      <c r="K9" s="117" t="s">
        <v>549</v>
      </c>
      <c r="L9" s="117" t="s">
        <v>550</v>
      </c>
      <c r="M9" s="117" t="s">
        <v>551</v>
      </c>
      <c r="N9" s="117" t="s">
        <v>552</v>
      </c>
      <c r="O9" s="117" t="s">
        <v>553</v>
      </c>
      <c r="P9" s="117"/>
      <c r="Q9" s="119" t="s">
        <v>554</v>
      </c>
    </row>
    <row r="10" spans="1:17" ht="33" customHeight="1" x14ac:dyDescent="0.45">
      <c r="B10" s="428" t="s">
        <v>555</v>
      </c>
      <c r="C10" s="429"/>
      <c r="D10" s="429"/>
      <c r="E10" s="430"/>
      <c r="F10" s="120">
        <v>5</v>
      </c>
      <c r="G10" s="154"/>
      <c r="H10" s="121">
        <v>298293.3</v>
      </c>
      <c r="I10" s="122"/>
      <c r="J10" s="135">
        <v>50000</v>
      </c>
      <c r="K10" s="121">
        <v>0</v>
      </c>
      <c r="L10" s="121">
        <f>SUM(H10:K10)</f>
        <v>348293.3</v>
      </c>
      <c r="M10" s="121">
        <f>'AMORTIZATION FY21-22'!N10</f>
        <v>93975.98000000001</v>
      </c>
      <c r="N10" s="125">
        <f>+H10/F10+J10/F10</f>
        <v>69658.66</v>
      </c>
      <c r="O10" s="121">
        <f>SUM(M10:N10)</f>
        <v>163634.64000000001</v>
      </c>
      <c r="P10" s="121"/>
      <c r="Q10" s="121">
        <f>L10-O10</f>
        <v>184658.65999999997</v>
      </c>
    </row>
    <row r="11" spans="1:17" x14ac:dyDescent="0.45">
      <c r="B11" s="428" t="s">
        <v>557</v>
      </c>
      <c r="C11" s="429"/>
      <c r="D11" s="429"/>
      <c r="E11" s="430"/>
      <c r="F11" s="120">
        <v>5</v>
      </c>
      <c r="G11" s="133"/>
      <c r="H11" s="121">
        <v>52817.279999999999</v>
      </c>
      <c r="I11" s="122"/>
      <c r="J11" s="135">
        <v>0</v>
      </c>
      <c r="K11" s="121">
        <v>0</v>
      </c>
      <c r="L11" s="121">
        <f>SUM(H11:K11)</f>
        <v>52817.279999999999</v>
      </c>
      <c r="M11" s="125">
        <f>'AMORTIZATION FY21-22'!N11</f>
        <v>37850.911999999997</v>
      </c>
      <c r="N11" s="125">
        <f>+H11/F11+J11/F11</f>
        <v>10563.456</v>
      </c>
      <c r="O11" s="121">
        <f>SUM(M11:N11)</f>
        <v>48414.367999999995</v>
      </c>
      <c r="P11" s="121"/>
      <c r="Q11" s="121">
        <f>L11-O11</f>
        <v>4402.9120000000039</v>
      </c>
    </row>
    <row r="12" spans="1:17" ht="71.25" x14ac:dyDescent="0.45">
      <c r="B12" s="428" t="s">
        <v>558</v>
      </c>
      <c r="C12" s="429"/>
      <c r="D12" s="429"/>
      <c r="E12" s="430"/>
      <c r="F12" s="124">
        <v>0.3</v>
      </c>
      <c r="G12" s="132" t="s">
        <v>568</v>
      </c>
      <c r="H12" s="121">
        <v>1117674.51</v>
      </c>
      <c r="I12" s="25"/>
      <c r="J12" s="87">
        <v>200000</v>
      </c>
      <c r="K12" s="25"/>
      <c r="L12" s="125">
        <f t="shared" ref="L12:L14" si="0">SUM(H12:K12)</f>
        <v>1317674.51</v>
      </c>
      <c r="M12" s="125">
        <f>'AMORTIZATION FY21-22'!N12</f>
        <v>1014339.684</v>
      </c>
      <c r="N12" s="126">
        <f>((H12-M12)*0.3)+(J12*0.3*0.5)</f>
        <v>61000.447799999994</v>
      </c>
      <c r="O12" s="125">
        <f>SUM(M12:N12)</f>
        <v>1075340.1318000001</v>
      </c>
      <c r="P12" s="25"/>
      <c r="Q12" s="121">
        <f>L12-O12</f>
        <v>242334.37819999992</v>
      </c>
    </row>
    <row r="13" spans="1:17" ht="28.5" x14ac:dyDescent="0.45">
      <c r="B13" s="428" t="s">
        <v>532</v>
      </c>
      <c r="C13" s="429"/>
      <c r="D13" s="429"/>
      <c r="E13" s="430"/>
      <c r="F13" s="25" t="s">
        <v>569</v>
      </c>
      <c r="G13" s="17" t="s">
        <v>570</v>
      </c>
      <c r="H13" s="25"/>
      <c r="I13" s="25"/>
      <c r="J13" s="214">
        <f>ROUNDUP(((70*1.13)*18248),-5)</f>
        <v>1500000</v>
      </c>
      <c r="K13" s="25"/>
      <c r="L13" s="125">
        <f t="shared" si="0"/>
        <v>1500000</v>
      </c>
      <c r="M13" s="25"/>
      <c r="N13" s="126">
        <f>(L13/15)*0.5</f>
        <v>50000</v>
      </c>
      <c r="O13" s="125">
        <f>SUM(M13:N13)</f>
        <v>50000</v>
      </c>
      <c r="P13" s="25"/>
      <c r="Q13" s="121">
        <f>L13-O13</f>
        <v>1450000</v>
      </c>
    </row>
    <row r="14" spans="1:17" x14ac:dyDescent="0.45">
      <c r="B14" s="428" t="s">
        <v>533</v>
      </c>
      <c r="C14" s="429"/>
      <c r="D14" s="429"/>
      <c r="E14" s="430"/>
      <c r="F14" s="124">
        <v>0.55000000000000004</v>
      </c>
      <c r="G14" s="25" t="s">
        <v>571</v>
      </c>
      <c r="H14" s="134">
        <v>67000</v>
      </c>
      <c r="I14" s="25"/>
      <c r="J14" s="214">
        <f>(3000*10)+(48*1000)</f>
        <v>78000</v>
      </c>
      <c r="K14" s="25"/>
      <c r="L14" s="125">
        <f t="shared" si="0"/>
        <v>145000</v>
      </c>
      <c r="M14" s="134">
        <f>'AMORTIZATION FY21-22'!N14</f>
        <v>10000</v>
      </c>
      <c r="N14" s="126">
        <f>((H14-M14)*0.55)+(78000*0.55*0.5)</f>
        <v>52800</v>
      </c>
      <c r="O14" s="125">
        <f>SUM(M14:N14)</f>
        <v>62800</v>
      </c>
      <c r="P14" s="25"/>
      <c r="Q14" s="121">
        <f>L14-O14</f>
        <v>82200</v>
      </c>
    </row>
    <row r="15" spans="1:17" x14ac:dyDescent="0.45">
      <c r="M15" s="18" t="s">
        <v>572</v>
      </c>
      <c r="N15" s="113">
        <f>SUM(N10:N14)</f>
        <v>244022.5638</v>
      </c>
    </row>
  </sheetData>
  <mergeCells count="8">
    <mergeCell ref="B12:E12"/>
    <mergeCell ref="B13:E13"/>
    <mergeCell ref="B14:E14"/>
    <mergeCell ref="A1:F1"/>
    <mergeCell ref="E3:F3"/>
    <mergeCell ref="E4:F4"/>
    <mergeCell ref="B10:E10"/>
    <mergeCell ref="B11:E1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64B9-F487-4EB1-A48F-F9574BFD7542}">
  <dimension ref="A1:Q15"/>
  <sheetViews>
    <sheetView showGridLines="0" topLeftCell="H3" zoomScaleNormal="100" workbookViewId="0">
      <selection activeCell="F13" sqref="F13"/>
    </sheetView>
  </sheetViews>
  <sheetFormatPr defaultColWidth="11.3984375" defaultRowHeight="14.25" x14ac:dyDescent="0.45"/>
  <cols>
    <col min="2" max="2" width="24" customWidth="1"/>
    <col min="3" max="3" width="34" customWidth="1"/>
    <col min="4" max="5" width="22" customWidth="1"/>
    <col min="6" max="6" width="27.86328125" customWidth="1"/>
    <col min="7" max="7" width="58.73046875" customWidth="1"/>
    <col min="8" max="8" width="63" customWidth="1"/>
    <col min="9" max="9" width="7.1328125" customWidth="1"/>
    <col min="10" max="10" width="22.86328125" customWidth="1"/>
    <col min="12" max="12" width="17.73046875" bestFit="1" customWidth="1"/>
    <col min="13" max="13" width="20.86328125" customWidth="1"/>
    <col min="14" max="14" width="16" customWidth="1"/>
    <col min="15" max="15" width="23.3984375" customWidth="1"/>
    <col min="16" max="16" width="5" customWidth="1"/>
    <col min="17" max="17" width="18.86328125" customWidth="1"/>
  </cols>
  <sheetData>
    <row r="1" spans="1:17" x14ac:dyDescent="0.45">
      <c r="A1" s="414" t="s">
        <v>565</v>
      </c>
      <c r="B1" s="414"/>
      <c r="C1" s="414"/>
      <c r="D1" s="414"/>
      <c r="E1" s="414"/>
      <c r="F1" s="414"/>
    </row>
    <row r="3" spans="1:17" ht="28.5" x14ac:dyDescent="0.45">
      <c r="B3" s="74" t="s">
        <v>419</v>
      </c>
      <c r="C3" s="144" t="s">
        <v>420</v>
      </c>
      <c r="D3" s="145" t="s">
        <v>8</v>
      </c>
      <c r="E3" s="406" t="s">
        <v>566</v>
      </c>
      <c r="F3" s="408"/>
      <c r="G3" s="74" t="s">
        <v>214</v>
      </c>
    </row>
    <row r="4" spans="1:17" ht="109.9" customHeight="1" x14ac:dyDescent="0.45">
      <c r="B4" s="72">
        <v>20</v>
      </c>
      <c r="C4" s="90" t="s">
        <v>542</v>
      </c>
      <c r="D4" s="88">
        <f>ROUNDUP(N15,-4)</f>
        <v>300000</v>
      </c>
      <c r="E4" s="431" t="s">
        <v>543</v>
      </c>
      <c r="F4" s="418"/>
      <c r="G4" s="143" t="s">
        <v>544</v>
      </c>
    </row>
    <row r="8" spans="1:17" ht="14.65" thickBot="1" x14ac:dyDescent="0.5">
      <c r="B8" s="19"/>
    </row>
    <row r="9" spans="1:17" ht="97.15" customHeight="1" x14ac:dyDescent="0.45">
      <c r="B9" s="114"/>
      <c r="C9" s="115"/>
      <c r="D9" s="115"/>
      <c r="E9" s="115"/>
      <c r="F9" s="115" t="s">
        <v>545</v>
      </c>
      <c r="G9" s="116" t="s">
        <v>546</v>
      </c>
      <c r="H9" s="117" t="s">
        <v>547</v>
      </c>
      <c r="I9" s="117"/>
      <c r="J9" s="118" t="s">
        <v>573</v>
      </c>
      <c r="K9" s="117" t="s">
        <v>549</v>
      </c>
      <c r="L9" s="117" t="s">
        <v>550</v>
      </c>
      <c r="M9" s="117" t="s">
        <v>551</v>
      </c>
      <c r="N9" s="117" t="s">
        <v>552</v>
      </c>
      <c r="O9" s="117" t="s">
        <v>553</v>
      </c>
      <c r="P9" s="117"/>
      <c r="Q9" s="119" t="s">
        <v>554</v>
      </c>
    </row>
    <row r="10" spans="1:17" ht="33" customHeight="1" x14ac:dyDescent="0.45">
      <c r="B10" s="428" t="s">
        <v>555</v>
      </c>
      <c r="C10" s="429"/>
      <c r="D10" s="429"/>
      <c r="E10" s="430"/>
      <c r="F10" s="120">
        <v>5</v>
      </c>
      <c r="G10" s="154"/>
      <c r="H10" s="121">
        <f>'AMORTIZATION FY23'!L10</f>
        <v>348293.3</v>
      </c>
      <c r="I10" s="122"/>
      <c r="J10" s="135"/>
      <c r="K10" s="121">
        <v>0</v>
      </c>
      <c r="L10" s="121">
        <f>SUM(H10:K10)</f>
        <v>348293.3</v>
      </c>
      <c r="M10" s="121">
        <f>'AMORTIZATION FY23'!O10</f>
        <v>163634.64000000001</v>
      </c>
      <c r="N10" s="125">
        <f>+H10/F10+J10/F10</f>
        <v>69658.66</v>
      </c>
      <c r="O10" s="121">
        <f>SUM(M10:N10)</f>
        <v>233293.30000000002</v>
      </c>
      <c r="P10" s="121"/>
      <c r="Q10" s="121">
        <f>L10-O10</f>
        <v>114999.99999999997</v>
      </c>
    </row>
    <row r="11" spans="1:17" x14ac:dyDescent="0.45">
      <c r="B11" s="428" t="s">
        <v>557</v>
      </c>
      <c r="C11" s="429"/>
      <c r="D11" s="429"/>
      <c r="E11" s="430"/>
      <c r="F11" s="120">
        <v>5</v>
      </c>
      <c r="G11" s="133"/>
      <c r="H11" s="121">
        <f>'AMORTIZATION FY23'!L11</f>
        <v>52817.279999999999</v>
      </c>
      <c r="I11" s="122"/>
      <c r="J11" s="135">
        <v>0</v>
      </c>
      <c r="K11" s="121">
        <v>0</v>
      </c>
      <c r="L11" s="121">
        <f>SUM(H11:K11)</f>
        <v>52817.279999999999</v>
      </c>
      <c r="M11" s="125">
        <f>'AMORTIZATION FY23'!O11</f>
        <v>48414.367999999995</v>
      </c>
      <c r="N11" s="125">
        <f>+H11/F11+J11/F11</f>
        <v>10563.456</v>
      </c>
      <c r="O11" s="121">
        <f>SUM(M11:N11)</f>
        <v>58977.823999999993</v>
      </c>
      <c r="P11" s="121"/>
      <c r="Q11" s="121">
        <f>L11-O11</f>
        <v>-6160.5439999999944</v>
      </c>
    </row>
    <row r="12" spans="1:17" ht="71.25" x14ac:dyDescent="0.45">
      <c r="B12" s="428" t="s">
        <v>558</v>
      </c>
      <c r="C12" s="429"/>
      <c r="D12" s="429"/>
      <c r="E12" s="430"/>
      <c r="F12" s="124">
        <v>0.3</v>
      </c>
      <c r="G12" s="132" t="s">
        <v>568</v>
      </c>
      <c r="H12" s="121">
        <f>'AMORTIZATION FY23'!L12</f>
        <v>1317674.51</v>
      </c>
      <c r="I12" s="25"/>
      <c r="J12" s="87"/>
      <c r="K12" s="25"/>
      <c r="L12" s="125">
        <f t="shared" ref="L12:L14" si="0">SUM(H12:K12)</f>
        <v>1317674.51</v>
      </c>
      <c r="M12" s="125">
        <f>'AMORTIZATION FY23'!O12</f>
        <v>1075340.1318000001</v>
      </c>
      <c r="N12" s="126">
        <f>(H12-M12)*0.3</f>
        <v>72700.313459999976</v>
      </c>
      <c r="O12" s="125">
        <f>SUM(M12:N12)</f>
        <v>1148040.4452599999</v>
      </c>
      <c r="P12" s="25"/>
      <c r="Q12" s="121">
        <f>L12-O12</f>
        <v>169634.06474000006</v>
      </c>
    </row>
    <row r="13" spans="1:17" ht="28.5" x14ac:dyDescent="0.45">
      <c r="B13" s="428" t="s">
        <v>532</v>
      </c>
      <c r="C13" s="429"/>
      <c r="D13" s="429"/>
      <c r="E13" s="430"/>
      <c r="F13" s="25" t="s">
        <v>569</v>
      </c>
      <c r="G13" s="17" t="s">
        <v>570</v>
      </c>
      <c r="H13" s="215">
        <f>'AMORTIZATION FY23'!L13</f>
        <v>1500000</v>
      </c>
      <c r="I13" s="25"/>
      <c r="J13" s="214"/>
      <c r="K13" s="25"/>
      <c r="L13" s="125">
        <f t="shared" si="0"/>
        <v>1500000</v>
      </c>
      <c r="M13" s="25">
        <f>'AMORTIZATION FY23'!O13</f>
        <v>50000</v>
      </c>
      <c r="N13" s="126">
        <f>(L13/15)</f>
        <v>100000</v>
      </c>
      <c r="O13" s="125">
        <f>SUM(M13:N13)</f>
        <v>150000</v>
      </c>
      <c r="P13" s="25"/>
      <c r="Q13" s="121">
        <f>L13-O13</f>
        <v>1350000</v>
      </c>
    </row>
    <row r="14" spans="1:17" x14ac:dyDescent="0.45">
      <c r="B14" s="428" t="s">
        <v>533</v>
      </c>
      <c r="C14" s="429"/>
      <c r="D14" s="429"/>
      <c r="E14" s="430"/>
      <c r="F14" s="124">
        <v>0.55000000000000004</v>
      </c>
      <c r="G14" s="25"/>
      <c r="H14" s="134">
        <f>'AMORTIZATION FY23'!L14</f>
        <v>145000</v>
      </c>
      <c r="I14" s="25"/>
      <c r="J14" s="214"/>
      <c r="K14" s="25"/>
      <c r="L14" s="125">
        <f t="shared" si="0"/>
        <v>145000</v>
      </c>
      <c r="M14" s="134">
        <f>'AMORTIZATION FY23'!O14</f>
        <v>62800</v>
      </c>
      <c r="N14" s="126">
        <f>((H14-M14)*0.55)</f>
        <v>45210.000000000007</v>
      </c>
      <c r="O14" s="125">
        <f>SUM(M14:N14)</f>
        <v>108010</v>
      </c>
      <c r="P14" s="25"/>
      <c r="Q14" s="121">
        <f>L14-O14</f>
        <v>36990</v>
      </c>
    </row>
    <row r="15" spans="1:17" x14ac:dyDescent="0.45">
      <c r="M15" s="18" t="s">
        <v>572</v>
      </c>
      <c r="N15" s="113">
        <f>SUM(N10:N14)</f>
        <v>298132.42946000001</v>
      </c>
    </row>
  </sheetData>
  <mergeCells count="8">
    <mergeCell ref="B13:E13"/>
    <mergeCell ref="B14:E14"/>
    <mergeCell ref="A1:F1"/>
    <mergeCell ref="E3:F3"/>
    <mergeCell ref="E4:F4"/>
    <mergeCell ref="B10:E10"/>
    <mergeCell ref="B11:E11"/>
    <mergeCell ref="B12:E1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592E0-EE42-499B-94EB-1C40B57B7CF3}">
  <dimension ref="B1:G38"/>
  <sheetViews>
    <sheetView workbookViewId="0">
      <selection activeCell="F5" sqref="F5"/>
    </sheetView>
  </sheetViews>
  <sheetFormatPr defaultRowHeight="14.25" x14ac:dyDescent="0.45"/>
  <cols>
    <col min="3" max="3" width="49.3984375" bestFit="1" customWidth="1"/>
    <col min="4" max="4" width="55.59765625" bestFit="1" customWidth="1"/>
    <col min="5" max="5" width="9.3984375" bestFit="1" customWidth="1"/>
    <col min="6" max="6" width="35.73046875" bestFit="1" customWidth="1"/>
    <col min="7" max="7" width="9.86328125" bestFit="1" customWidth="1"/>
  </cols>
  <sheetData>
    <row r="1" spans="2:7" x14ac:dyDescent="0.45">
      <c r="G1" s="18" t="s">
        <v>574</v>
      </c>
    </row>
    <row r="2" spans="2:7" x14ac:dyDescent="0.45">
      <c r="G2" s="163">
        <f>12*12*48</f>
        <v>6912</v>
      </c>
    </row>
    <row r="3" spans="2:7" x14ac:dyDescent="0.45">
      <c r="B3" s="164"/>
      <c r="C3" s="164" t="s">
        <v>575</v>
      </c>
      <c r="D3" t="s">
        <v>576</v>
      </c>
      <c r="G3" s="163">
        <f>449*48</f>
        <v>21552</v>
      </c>
    </row>
    <row r="4" spans="2:7" x14ac:dyDescent="0.45">
      <c r="B4" s="164"/>
      <c r="C4" s="164" t="s">
        <v>577</v>
      </c>
      <c r="D4" s="166">
        <v>10000</v>
      </c>
    </row>
    <row r="5" spans="2:7" x14ac:dyDescent="0.45">
      <c r="F5" s="163">
        <f>40*1000</f>
        <v>40000</v>
      </c>
    </row>
    <row r="10" spans="2:7" x14ac:dyDescent="0.45">
      <c r="C10" t="s">
        <v>578</v>
      </c>
    </row>
    <row r="14" spans="2:7" x14ac:dyDescent="0.45">
      <c r="C14" s="165" t="s">
        <v>579</v>
      </c>
    </row>
    <row r="15" spans="2:7" x14ac:dyDescent="0.45">
      <c r="C15" t="s">
        <v>580</v>
      </c>
    </row>
    <row r="16" spans="2:7" x14ac:dyDescent="0.45">
      <c r="C16" t="s">
        <v>579</v>
      </c>
      <c r="D16" s="163">
        <v>20000</v>
      </c>
    </row>
    <row r="17" spans="3:6" x14ac:dyDescent="0.45">
      <c r="C17" t="s">
        <v>581</v>
      </c>
    </row>
    <row r="18" spans="3:6" x14ac:dyDescent="0.45">
      <c r="C18" t="s">
        <v>582</v>
      </c>
      <c r="D18" t="s">
        <v>583</v>
      </c>
    </row>
    <row r="19" spans="3:6" x14ac:dyDescent="0.45">
      <c r="D19" t="s">
        <v>584</v>
      </c>
    </row>
    <row r="21" spans="3:6" x14ac:dyDescent="0.45">
      <c r="C21" t="s">
        <v>585</v>
      </c>
      <c r="D21" t="s">
        <v>586</v>
      </c>
      <c r="F21" t="s">
        <v>587</v>
      </c>
    </row>
    <row r="22" spans="3:6" x14ac:dyDescent="0.45">
      <c r="C22" t="s">
        <v>588</v>
      </c>
      <c r="D22">
        <v>20000</v>
      </c>
      <c r="F22" t="s">
        <v>589</v>
      </c>
    </row>
    <row r="23" spans="3:6" x14ac:dyDescent="0.45">
      <c r="C23" t="s">
        <v>590</v>
      </c>
      <c r="D23" t="s">
        <v>591</v>
      </c>
      <c r="F23" t="s">
        <v>592</v>
      </c>
    </row>
    <row r="25" spans="3:6" x14ac:dyDescent="0.45">
      <c r="C25" t="s">
        <v>434</v>
      </c>
    </row>
    <row r="26" spans="3:6" x14ac:dyDescent="0.45">
      <c r="C26" t="s">
        <v>593</v>
      </c>
    </row>
    <row r="28" spans="3:6" x14ac:dyDescent="0.45">
      <c r="C28" t="s">
        <v>594</v>
      </c>
    </row>
    <row r="29" spans="3:6" x14ac:dyDescent="0.45">
      <c r="C29" t="s">
        <v>595</v>
      </c>
    </row>
    <row r="31" spans="3:6" x14ac:dyDescent="0.45">
      <c r="C31" t="s">
        <v>596</v>
      </c>
    </row>
    <row r="32" spans="3:6" x14ac:dyDescent="0.45">
      <c r="C32">
        <v>7.6</v>
      </c>
    </row>
    <row r="36" spans="3:5" x14ac:dyDescent="0.45">
      <c r="C36" t="s">
        <v>597</v>
      </c>
      <c r="E36" t="s">
        <v>598</v>
      </c>
    </row>
    <row r="37" spans="3:5" x14ac:dyDescent="0.45">
      <c r="C37" t="s">
        <v>599</v>
      </c>
      <c r="E37" t="s">
        <v>600</v>
      </c>
    </row>
    <row r="38" spans="3:5" x14ac:dyDescent="0.45">
      <c r="C38" t="s">
        <v>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0F86-0C2A-4905-88B6-9A9FF5FDB3ED}">
  <dimension ref="A1:P67"/>
  <sheetViews>
    <sheetView showGridLines="0" topLeftCell="C2" zoomScale="115" zoomScaleNormal="115" workbookViewId="0">
      <selection activeCell="F9" sqref="F4:F9"/>
    </sheetView>
  </sheetViews>
  <sheetFormatPr defaultColWidth="11.3984375" defaultRowHeight="14.25" x14ac:dyDescent="0.45"/>
  <cols>
    <col min="1" max="1" width="27.59765625" customWidth="1"/>
    <col min="2" max="2" width="33.265625" customWidth="1"/>
    <col min="3" max="3" width="44" customWidth="1"/>
    <col min="4" max="4" width="34.265625" customWidth="1"/>
    <col min="5" max="5" width="65.59765625" bestFit="1" customWidth="1"/>
    <col min="6" max="6" width="26.59765625" customWidth="1"/>
    <col min="7" max="9" width="29.265625" customWidth="1"/>
    <col min="10" max="10" width="30.265625" customWidth="1"/>
    <col min="11" max="11" width="34.59765625" hidden="1" customWidth="1"/>
    <col min="12" max="12" width="12" customWidth="1"/>
    <col min="13" max="13" width="30.73046875" customWidth="1"/>
    <col min="14" max="14" width="35.73046875" customWidth="1"/>
    <col min="15" max="15" width="20.73046875" customWidth="1"/>
    <col min="16" max="16" width="28.73046875" customWidth="1"/>
    <col min="17" max="17" width="71.59765625" customWidth="1"/>
    <col min="18" max="18" width="32.73046875" customWidth="1"/>
    <col min="19" max="19" width="13.265625" customWidth="1"/>
    <col min="20" max="20" width="22.1328125" customWidth="1"/>
    <col min="21" max="21" width="18.86328125" customWidth="1"/>
    <col min="22" max="22" width="16.59765625" customWidth="1"/>
  </cols>
  <sheetData>
    <row r="1" spans="1:16" x14ac:dyDescent="0.45">
      <c r="A1" s="79" t="s">
        <v>220</v>
      </c>
      <c r="B1" s="79"/>
      <c r="C1" s="79"/>
      <c r="D1" s="78"/>
      <c r="E1" s="78"/>
      <c r="F1" s="78"/>
      <c r="G1" s="78"/>
      <c r="H1" s="78"/>
      <c r="I1" s="78"/>
      <c r="J1" s="78"/>
      <c r="K1" s="78"/>
      <c r="L1" s="78"/>
    </row>
    <row r="2" spans="1:16" x14ac:dyDescent="0.45">
      <c r="A2" s="18"/>
      <c r="B2" s="18"/>
      <c r="C2" s="18"/>
    </row>
    <row r="3" spans="1:16" ht="28.5" x14ac:dyDescent="0.45">
      <c r="D3" s="141" t="s">
        <v>211</v>
      </c>
      <c r="E3" s="141" t="s">
        <v>212</v>
      </c>
      <c r="F3" s="74">
        <v>2023</v>
      </c>
      <c r="G3" s="74" t="s">
        <v>221</v>
      </c>
      <c r="H3" s="74" t="s">
        <v>9</v>
      </c>
      <c r="I3" s="406" t="s">
        <v>213</v>
      </c>
      <c r="J3" s="407"/>
      <c r="K3" s="407"/>
      <c r="L3" s="408"/>
      <c r="M3" s="412" t="s">
        <v>214</v>
      </c>
      <c r="N3" s="413"/>
      <c r="O3" s="413"/>
      <c r="P3" s="413"/>
    </row>
    <row r="4" spans="1:16" ht="174" customHeight="1" x14ac:dyDescent="0.45">
      <c r="D4" s="72">
        <v>2.1</v>
      </c>
      <c r="E4" s="72" t="s">
        <v>222</v>
      </c>
      <c r="F4" s="84">
        <f>ROUNDUP(F25+10000,-5)</f>
        <v>2800000</v>
      </c>
      <c r="G4" s="84">
        <v>1700000</v>
      </c>
      <c r="H4" s="84">
        <v>1800000</v>
      </c>
      <c r="I4" s="409"/>
      <c r="J4" s="410"/>
      <c r="K4" s="410"/>
      <c r="L4" s="411"/>
      <c r="M4" s="409"/>
      <c r="N4" s="410"/>
      <c r="O4" s="410"/>
      <c r="P4" s="411"/>
    </row>
    <row r="5" spans="1:16" ht="106.5" customHeight="1" x14ac:dyDescent="0.45">
      <c r="D5" s="72">
        <v>2.2000000000000002</v>
      </c>
      <c r="E5" s="72" t="s">
        <v>223</v>
      </c>
      <c r="F5" s="85">
        <f>ROUNDUP(G25,-5)</f>
        <v>4900000</v>
      </c>
      <c r="G5" s="85">
        <v>4400000</v>
      </c>
      <c r="H5" s="84">
        <v>4700000</v>
      </c>
      <c r="I5" s="409"/>
      <c r="J5" s="410"/>
      <c r="K5" s="410"/>
      <c r="L5" s="411"/>
      <c r="M5" s="409"/>
      <c r="N5" s="410"/>
      <c r="O5" s="410"/>
      <c r="P5" s="411"/>
    </row>
    <row r="6" spans="1:16" ht="81.75" customHeight="1" x14ac:dyDescent="0.45">
      <c r="D6" s="72">
        <v>2.2999999999999998</v>
      </c>
      <c r="E6" s="72" t="s">
        <v>224</v>
      </c>
      <c r="F6" s="84">
        <f>ROUND(0.145*(F4+F5)+100000,-4)</f>
        <v>1220000</v>
      </c>
      <c r="G6" s="84">
        <f>ROUND(0.145*(G4+G5)+100000,-4)</f>
        <v>980000</v>
      </c>
      <c r="H6" s="84">
        <f>ROUND(0.145*(H4+H5)+100000,-4)</f>
        <v>1040000</v>
      </c>
      <c r="I6" s="409" t="s">
        <v>225</v>
      </c>
      <c r="J6" s="410"/>
      <c r="K6" s="410"/>
      <c r="L6" s="411"/>
      <c r="M6" s="409" t="s">
        <v>226</v>
      </c>
      <c r="N6" s="410"/>
      <c r="O6" s="410"/>
      <c r="P6" s="411"/>
    </row>
    <row r="7" spans="1:16" ht="93" customHeight="1" x14ac:dyDescent="0.45">
      <c r="D7" s="72">
        <v>2.4</v>
      </c>
      <c r="E7" s="90" t="s">
        <v>227</v>
      </c>
      <c r="F7" s="84">
        <f>ROUNDUP(D42+20000,-4)</f>
        <v>470000</v>
      </c>
      <c r="G7" s="84">
        <f>ROUNDUP(D42+20000,-4)</f>
        <v>470000</v>
      </c>
      <c r="H7" s="84">
        <f>ROUNDUP(D51+20000,-4)</f>
        <v>450000</v>
      </c>
      <c r="I7" s="409" t="s">
        <v>617</v>
      </c>
      <c r="J7" s="410"/>
      <c r="K7" s="410"/>
      <c r="L7" s="411"/>
      <c r="M7" s="409" t="s">
        <v>618</v>
      </c>
      <c r="N7" s="410"/>
      <c r="O7" s="410"/>
      <c r="P7" s="411"/>
    </row>
    <row r="8" spans="1:16" ht="59.65" customHeight="1" x14ac:dyDescent="0.45">
      <c r="D8" s="72">
        <v>2.5</v>
      </c>
      <c r="E8" s="90" t="s">
        <v>228</v>
      </c>
      <c r="F8" s="84">
        <f>ROUNDUP($G$64*(F4+F5),-4)</f>
        <v>610000</v>
      </c>
      <c r="G8" s="84">
        <f>ROUNDUP($G$64*(G4+G5),-4)</f>
        <v>480000</v>
      </c>
      <c r="H8" s="84">
        <f>ROUNDUP($G$64*(H4+H5),-4)</f>
        <v>520000</v>
      </c>
      <c r="I8" s="409" t="s">
        <v>229</v>
      </c>
      <c r="J8" s="410"/>
      <c r="K8" s="410"/>
      <c r="L8" s="411"/>
      <c r="M8" s="409" t="s">
        <v>230</v>
      </c>
      <c r="N8" s="410"/>
      <c r="O8" s="410"/>
      <c r="P8" s="411"/>
    </row>
    <row r="9" spans="1:16" ht="59.65" customHeight="1" x14ac:dyDescent="0.45">
      <c r="D9" s="72">
        <v>2.6</v>
      </c>
      <c r="E9" s="90" t="s">
        <v>231</v>
      </c>
      <c r="F9" s="84">
        <v>250000</v>
      </c>
      <c r="G9" s="84">
        <v>450000</v>
      </c>
      <c r="H9" s="84">
        <v>450000</v>
      </c>
      <c r="I9" s="409" t="s">
        <v>232</v>
      </c>
      <c r="J9" s="410"/>
      <c r="K9" s="410"/>
      <c r="L9" s="411"/>
      <c r="M9" s="409" t="s">
        <v>233</v>
      </c>
      <c r="N9" s="410"/>
      <c r="O9" s="410"/>
      <c r="P9" s="411"/>
    </row>
    <row r="10" spans="1:16" x14ac:dyDescent="0.45">
      <c r="M10" s="16"/>
      <c r="N10" s="93"/>
    </row>
    <row r="11" spans="1:16" x14ac:dyDescent="0.45">
      <c r="D11" s="297">
        <f>E11/44</f>
        <v>6428.045454545455</v>
      </c>
      <c r="E11" s="163">
        <v>282834</v>
      </c>
      <c r="F11" s="82">
        <v>0.02</v>
      </c>
      <c r="H11">
        <v>502</v>
      </c>
    </row>
    <row r="12" spans="1:16" x14ac:dyDescent="0.45">
      <c r="A12" s="92" t="s">
        <v>234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4" spans="1:16" x14ac:dyDescent="0.45">
      <c r="D14" s="19" t="s">
        <v>235</v>
      </c>
    </row>
    <row r="15" spans="1:16" ht="28.5" x14ac:dyDescent="0.45">
      <c r="D15" s="80"/>
      <c r="F15" s="151" t="s">
        <v>236</v>
      </c>
      <c r="G15" s="151" t="s">
        <v>237</v>
      </c>
      <c r="H15" s="151"/>
      <c r="I15" s="151"/>
      <c r="J15" s="18"/>
      <c r="K15" s="18"/>
      <c r="L15" s="18"/>
    </row>
    <row r="16" spans="1:16" x14ac:dyDescent="0.45">
      <c r="D16" t="s">
        <v>238</v>
      </c>
      <c r="F16" s="81">
        <v>2041964.33</v>
      </c>
      <c r="G16" s="81">
        <v>3961946.04</v>
      </c>
      <c r="H16" s="81"/>
      <c r="I16" s="81"/>
      <c r="J16" s="82"/>
      <c r="K16" s="82"/>
      <c r="L16" s="82"/>
    </row>
    <row r="17" spans="1:13" ht="60.6" customHeight="1" x14ac:dyDescent="0.45">
      <c r="D17" s="16" t="s">
        <v>239</v>
      </c>
      <c r="F17" s="81"/>
      <c r="G17" s="81"/>
      <c r="H17" s="81"/>
      <c r="I17" s="81"/>
      <c r="J17" s="96"/>
      <c r="K17" s="96" t="s">
        <v>240</v>
      </c>
      <c r="L17" s="82"/>
    </row>
    <row r="18" spans="1:13" ht="93" customHeight="1" x14ac:dyDescent="0.45">
      <c r="D18" s="16" t="s">
        <v>241</v>
      </c>
      <c r="F18" s="95">
        <v>0.05</v>
      </c>
      <c r="G18" s="95">
        <v>0.05</v>
      </c>
      <c r="H18" s="175"/>
      <c r="I18" s="95"/>
      <c r="J18" s="96"/>
      <c r="K18" s="96" t="s">
        <v>242</v>
      </c>
      <c r="L18" s="82"/>
    </row>
    <row r="19" spans="1:13" ht="42.75" x14ac:dyDescent="0.45">
      <c r="D19" s="16" t="s">
        <v>243</v>
      </c>
      <c r="F19" s="95">
        <v>0.03</v>
      </c>
      <c r="G19" s="95">
        <v>0.03</v>
      </c>
      <c r="H19" s="175"/>
      <c r="I19" s="95"/>
      <c r="J19" s="82"/>
      <c r="K19" s="82"/>
      <c r="L19" s="82"/>
    </row>
    <row r="20" spans="1:13" ht="28.5" x14ac:dyDescent="0.45">
      <c r="D20" s="16" t="s">
        <v>244</v>
      </c>
      <c r="F20" s="83">
        <f>(F16+F17)*(1+F18+F19)</f>
        <v>2205321.4764</v>
      </c>
      <c r="G20" s="83">
        <f>(G16+G17)*(1+G18+G19)</f>
        <v>4278901.7231999999</v>
      </c>
      <c r="H20" s="83"/>
      <c r="I20" s="83"/>
    </row>
    <row r="21" spans="1:13" x14ac:dyDescent="0.45">
      <c r="D21" t="s">
        <v>245</v>
      </c>
      <c r="F21" s="83"/>
      <c r="G21" s="83"/>
      <c r="H21" s="83"/>
      <c r="I21" s="83"/>
    </row>
    <row r="22" spans="1:13" x14ac:dyDescent="0.45">
      <c r="D22" t="s">
        <v>246</v>
      </c>
      <c r="F22" s="83">
        <f>'FY 2023 Positions'!F19</f>
        <v>562946.03256666672</v>
      </c>
      <c r="G22" s="83">
        <f>'FY 2023 Positions'!F20</f>
        <v>616052.67362500017</v>
      </c>
      <c r="H22" s="83"/>
      <c r="I22" s="83"/>
      <c r="J22" t="s">
        <v>247</v>
      </c>
      <c r="K22" t="s">
        <v>248</v>
      </c>
    </row>
    <row r="23" spans="1:13" x14ac:dyDescent="0.45">
      <c r="D23" s="16"/>
      <c r="F23" s="129"/>
      <c r="G23" s="83"/>
      <c r="H23" s="83"/>
      <c r="I23" s="83"/>
      <c r="J23" s="16"/>
      <c r="K23" s="16"/>
      <c r="M23" s="21"/>
    </row>
    <row r="24" spans="1:13" x14ac:dyDescent="0.45">
      <c r="F24" s="129"/>
      <c r="G24" s="129"/>
      <c r="H24" s="129"/>
      <c r="I24" s="129"/>
    </row>
    <row r="25" spans="1:13" ht="28.9" thickBot="1" x14ac:dyDescent="0.5">
      <c r="D25" s="16" t="s">
        <v>249</v>
      </c>
      <c r="F25" s="358">
        <f>F20+F22</f>
        <v>2768267.5089666666</v>
      </c>
      <c r="G25" s="358">
        <f>G20+G22+G23</f>
        <v>4894954.3968249997</v>
      </c>
      <c r="H25" s="83"/>
      <c r="I25" s="83"/>
    </row>
    <row r="26" spans="1:13" ht="14.65" thickTop="1" x14ac:dyDescent="0.45"/>
    <row r="27" spans="1:13" x14ac:dyDescent="0.45">
      <c r="A27" s="18"/>
      <c r="B27" s="18"/>
      <c r="C27" s="18"/>
      <c r="D27" s="18"/>
      <c r="F27" s="83"/>
      <c r="G27" s="83"/>
      <c r="H27" s="83"/>
      <c r="I27" s="83"/>
    </row>
    <row r="28" spans="1:13" x14ac:dyDescent="0.45">
      <c r="A28" s="92" t="s">
        <v>250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3" x14ac:dyDescent="0.45">
      <c r="A29" s="18"/>
      <c r="B29" s="18"/>
      <c r="C29" s="18"/>
      <c r="D29" s="18"/>
      <c r="F29" s="83"/>
      <c r="G29" s="83"/>
      <c r="H29" s="83"/>
      <c r="I29" s="83"/>
    </row>
    <row r="30" spans="1:13" x14ac:dyDescent="0.45">
      <c r="A30" s="18" t="s">
        <v>251</v>
      </c>
      <c r="B30" s="18"/>
      <c r="C30" s="18"/>
      <c r="D30" s="71">
        <v>25601</v>
      </c>
      <c r="F30" s="83"/>
      <c r="G30" s="83"/>
      <c r="H30" s="83"/>
      <c r="I30" s="83"/>
    </row>
    <row r="31" spans="1:13" x14ac:dyDescent="0.45">
      <c r="B31" t="s">
        <v>252</v>
      </c>
      <c r="D31" s="102">
        <v>45</v>
      </c>
      <c r="F31" s="83"/>
      <c r="G31" s="83"/>
      <c r="H31" s="83"/>
      <c r="I31" s="83"/>
    </row>
    <row r="32" spans="1:13" ht="42.75" x14ac:dyDescent="0.45">
      <c r="B32" s="16" t="s">
        <v>253</v>
      </c>
      <c r="D32" s="77">
        <f>D30/D31</f>
        <v>568.91111111111115</v>
      </c>
      <c r="F32" s="83"/>
      <c r="G32" s="83"/>
      <c r="H32" s="83"/>
      <c r="I32" s="83"/>
    </row>
    <row r="33" spans="1:9" x14ac:dyDescent="0.45">
      <c r="D33" s="77"/>
      <c r="F33" s="83"/>
      <c r="G33" s="83"/>
      <c r="H33" s="83"/>
      <c r="I33" s="83"/>
    </row>
    <row r="34" spans="1:9" ht="42.75" x14ac:dyDescent="0.45">
      <c r="B34" s="16" t="s">
        <v>254</v>
      </c>
      <c r="D34" s="94"/>
      <c r="E34" s="195"/>
      <c r="F34" s="83"/>
      <c r="G34" s="83"/>
      <c r="H34" s="83"/>
      <c r="I34" s="83"/>
    </row>
    <row r="35" spans="1:9" x14ac:dyDescent="0.45">
      <c r="B35" s="18" t="s">
        <v>255</v>
      </c>
      <c r="C35" s="18"/>
      <c r="D35" s="101">
        <f>D32*57*12</f>
        <v>389135.2</v>
      </c>
      <c r="F35" s="83"/>
      <c r="G35" s="83"/>
      <c r="H35" s="83"/>
      <c r="I35" s="83"/>
    </row>
    <row r="36" spans="1:9" x14ac:dyDescent="0.45">
      <c r="B36" s="18"/>
      <c r="C36" s="18"/>
      <c r="D36" s="18"/>
      <c r="F36" s="83"/>
      <c r="G36" s="83"/>
      <c r="H36" s="83"/>
      <c r="I36" s="83"/>
    </row>
    <row r="37" spans="1:9" x14ac:dyDescent="0.45">
      <c r="B37" s="18"/>
      <c r="C37" s="18"/>
      <c r="D37" s="18"/>
      <c r="F37" s="83"/>
      <c r="G37" s="83"/>
      <c r="H37" s="83"/>
      <c r="I37" s="83"/>
    </row>
    <row r="38" spans="1:9" ht="28.5" x14ac:dyDescent="0.45">
      <c r="B38" s="16" t="s">
        <v>256</v>
      </c>
      <c r="D38" s="104">
        <v>1000</v>
      </c>
      <c r="E38" t="s">
        <v>257</v>
      </c>
      <c r="F38" s="83"/>
      <c r="G38" s="83"/>
      <c r="H38" s="83"/>
      <c r="I38" s="83"/>
    </row>
    <row r="39" spans="1:9" ht="42.75" x14ac:dyDescent="0.45">
      <c r="B39" s="16" t="s">
        <v>258</v>
      </c>
      <c r="D39" s="104">
        <f>12*1000</f>
        <v>12000</v>
      </c>
      <c r="F39" s="83"/>
      <c r="G39" s="83"/>
      <c r="H39" s="83"/>
      <c r="I39" s="83"/>
    </row>
    <row r="40" spans="1:9" x14ac:dyDescent="0.45">
      <c r="B40" s="18" t="s">
        <v>259</v>
      </c>
      <c r="C40" s="18"/>
      <c r="D40" s="103">
        <f>(D31*D38)+D39</f>
        <v>57000</v>
      </c>
      <c r="F40" s="83"/>
      <c r="G40" s="83"/>
      <c r="H40" s="83"/>
      <c r="I40" s="83"/>
    </row>
    <row r="41" spans="1:9" x14ac:dyDescent="0.45">
      <c r="B41" s="18"/>
      <c r="C41" s="18"/>
      <c r="D41" s="18"/>
      <c r="F41" s="83"/>
      <c r="G41" s="83"/>
      <c r="H41" s="83"/>
      <c r="I41" s="83"/>
    </row>
    <row r="42" spans="1:9" ht="28.5" x14ac:dyDescent="0.45">
      <c r="A42" s="18"/>
      <c r="B42" s="26" t="s">
        <v>260</v>
      </c>
      <c r="C42" s="18"/>
      <c r="D42" s="101">
        <f>D35+D40</f>
        <v>446135.2</v>
      </c>
      <c r="F42" s="83"/>
      <c r="G42" s="83"/>
      <c r="H42" s="83"/>
      <c r="I42" s="83"/>
    </row>
    <row r="43" spans="1:9" x14ac:dyDescent="0.45">
      <c r="A43" s="18"/>
      <c r="B43" s="18"/>
      <c r="C43" s="18"/>
      <c r="D43" s="101"/>
      <c r="F43" s="83"/>
      <c r="G43" s="83"/>
      <c r="H43" s="83"/>
      <c r="I43" s="83"/>
    </row>
    <row r="44" spans="1:9" x14ac:dyDescent="0.45">
      <c r="A44" s="18"/>
      <c r="B44" s="18"/>
      <c r="C44" s="18"/>
      <c r="D44" s="101"/>
      <c r="F44" s="83"/>
      <c r="G44" s="83"/>
      <c r="H44" s="83"/>
      <c r="I44" s="83"/>
    </row>
    <row r="45" spans="1:9" ht="28.5" x14ac:dyDescent="0.45">
      <c r="A45" s="18"/>
      <c r="B45" s="16" t="s">
        <v>261</v>
      </c>
      <c r="D45" s="105">
        <f>42+11</f>
        <v>53</v>
      </c>
      <c r="F45" s="83"/>
      <c r="G45" s="83"/>
      <c r="H45" s="83"/>
      <c r="I45" s="83"/>
    </row>
    <row r="46" spans="1:9" x14ac:dyDescent="0.45">
      <c r="A46" s="18"/>
      <c r="B46" s="18" t="s">
        <v>262</v>
      </c>
      <c r="D46" s="101">
        <f>D45*D32*12</f>
        <v>361827.46666666667</v>
      </c>
      <c r="F46" s="83"/>
      <c r="G46" s="83"/>
      <c r="H46" s="83"/>
      <c r="I46" s="83"/>
    </row>
    <row r="47" spans="1:9" ht="42.75" x14ac:dyDescent="0.45">
      <c r="A47" s="18"/>
      <c r="B47" s="16" t="s">
        <v>263</v>
      </c>
      <c r="D47" s="77">
        <f>D46*1.02</f>
        <v>369064.016</v>
      </c>
      <c r="F47" s="83"/>
      <c r="G47" s="83"/>
      <c r="H47" s="83"/>
      <c r="I47" s="83"/>
    </row>
    <row r="48" spans="1:9" x14ac:dyDescent="0.45">
      <c r="A48" s="18"/>
      <c r="D48" s="77"/>
      <c r="F48" s="83"/>
      <c r="G48" s="83"/>
      <c r="H48" s="83"/>
      <c r="I48" s="83"/>
    </row>
    <row r="49" spans="1:11" x14ac:dyDescent="0.45">
      <c r="A49" s="18"/>
      <c r="B49" s="18" t="s">
        <v>264</v>
      </c>
      <c r="D49" s="101">
        <f>D38*D45</f>
        <v>53000</v>
      </c>
      <c r="F49" s="83"/>
      <c r="G49" s="83"/>
      <c r="H49" s="83"/>
      <c r="I49" s="83"/>
    </row>
    <row r="50" spans="1:11" x14ac:dyDescent="0.45">
      <c r="A50" s="18"/>
      <c r="B50" s="18"/>
      <c r="C50" s="18"/>
      <c r="D50" s="101"/>
      <c r="F50" s="83"/>
      <c r="G50" s="83"/>
      <c r="H50" s="83"/>
      <c r="I50" s="83"/>
    </row>
    <row r="51" spans="1:11" x14ac:dyDescent="0.45">
      <c r="A51" s="18"/>
      <c r="B51" s="18" t="s">
        <v>265</v>
      </c>
      <c r="C51" s="18"/>
      <c r="D51" s="101">
        <f>D47+D49</f>
        <v>422064.016</v>
      </c>
      <c r="F51" s="83"/>
      <c r="G51" s="83"/>
      <c r="H51" s="83"/>
      <c r="I51" s="83"/>
    </row>
    <row r="52" spans="1:11" x14ac:dyDescent="0.45">
      <c r="A52" s="18"/>
      <c r="B52" s="18"/>
      <c r="C52" s="18"/>
      <c r="D52" s="101"/>
      <c r="F52" s="83"/>
      <c r="G52" s="83"/>
      <c r="H52" s="83"/>
      <c r="I52" s="83"/>
    </row>
    <row r="53" spans="1:11" x14ac:dyDescent="0.45">
      <c r="A53" s="18"/>
      <c r="B53" s="18"/>
      <c r="C53" s="18"/>
      <c r="D53" s="101"/>
      <c r="F53" s="83"/>
      <c r="G53" s="83"/>
      <c r="H53" s="83"/>
      <c r="I53" s="83"/>
    </row>
    <row r="54" spans="1:11" x14ac:dyDescent="0.45">
      <c r="A54" s="18"/>
      <c r="B54" s="18"/>
      <c r="C54" s="18"/>
      <c r="D54" s="101"/>
      <c r="F54" s="83"/>
      <c r="G54" s="83"/>
      <c r="H54" s="83"/>
      <c r="I54" s="83"/>
    </row>
    <row r="55" spans="1:11" x14ac:dyDescent="0.45">
      <c r="A55" s="92" t="s">
        <v>266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</row>
    <row r="56" spans="1:11" x14ac:dyDescent="0.45">
      <c r="A56" s="18"/>
      <c r="B56" s="18"/>
      <c r="C56" s="18"/>
      <c r="D56" s="18"/>
      <c r="F56" s="83"/>
      <c r="G56" s="83"/>
      <c r="H56" s="83"/>
      <c r="I56" s="83"/>
    </row>
    <row r="57" spans="1:11" ht="42.75" x14ac:dyDescent="0.45">
      <c r="A57" s="18"/>
      <c r="B57" s="18"/>
      <c r="C57" s="18"/>
      <c r="E57" s="26" t="s">
        <v>267</v>
      </c>
      <c r="F57" s="26" t="s">
        <v>268</v>
      </c>
      <c r="G57" s="69" t="s">
        <v>269</v>
      </c>
      <c r="H57" s="69"/>
      <c r="I57" s="69"/>
    </row>
    <row r="58" spans="1:11" x14ac:dyDescent="0.45">
      <c r="A58" s="18"/>
      <c r="B58" s="18"/>
      <c r="C58" s="18"/>
    </row>
    <row r="59" spans="1:11" x14ac:dyDescent="0.45">
      <c r="A59" s="18"/>
      <c r="B59" s="18"/>
      <c r="C59" s="18"/>
      <c r="D59" t="s">
        <v>270</v>
      </c>
    </row>
    <row r="60" spans="1:11" x14ac:dyDescent="0.45">
      <c r="A60" s="18"/>
      <c r="B60" s="18"/>
      <c r="C60" s="18"/>
      <c r="D60" t="s">
        <v>271</v>
      </c>
      <c r="E60" s="23">
        <v>2986836.25</v>
      </c>
      <c r="F60" s="23">
        <v>401855.32</v>
      </c>
      <c r="G60" s="127">
        <f>F60/E60</f>
        <v>0.13454213300109774</v>
      </c>
      <c r="H60" s="127"/>
      <c r="I60" s="127"/>
      <c r="J60" t="s">
        <v>272</v>
      </c>
    </row>
    <row r="61" spans="1:11" x14ac:dyDescent="0.45">
      <c r="A61" s="18"/>
      <c r="B61" s="18"/>
      <c r="C61" s="18"/>
      <c r="D61" t="s">
        <v>273</v>
      </c>
      <c r="E61" s="23">
        <v>2585170.29</v>
      </c>
      <c r="F61" s="23">
        <v>134575.24</v>
      </c>
      <c r="G61" s="127">
        <f>F61/E61</f>
        <v>5.2056624865513206E-2</v>
      </c>
      <c r="H61" s="127"/>
      <c r="I61" s="127"/>
      <c r="J61" t="s">
        <v>274</v>
      </c>
    </row>
    <row r="62" spans="1:11" x14ac:dyDescent="0.45">
      <c r="A62" s="18"/>
      <c r="B62" s="18"/>
      <c r="C62" s="18"/>
      <c r="D62" t="s">
        <v>275</v>
      </c>
      <c r="E62" s="21">
        <v>2984385.43</v>
      </c>
      <c r="F62" s="83">
        <v>146312.41</v>
      </c>
      <c r="G62" s="127">
        <f>F62/E62</f>
        <v>4.9025976514032239E-2</v>
      </c>
      <c r="H62" s="127"/>
      <c r="I62" s="127"/>
      <c r="J62" t="s">
        <v>274</v>
      </c>
    </row>
    <row r="63" spans="1:11" ht="14.65" thickBot="1" x14ac:dyDescent="0.5">
      <c r="A63" s="18"/>
      <c r="B63" s="18"/>
      <c r="C63" s="18"/>
      <c r="D63" s="18"/>
      <c r="F63" s="83"/>
      <c r="G63" s="83"/>
      <c r="H63" s="83"/>
      <c r="I63" s="83"/>
    </row>
    <row r="64" spans="1:11" ht="14.65" thickBot="1" x14ac:dyDescent="0.5">
      <c r="A64" t="s">
        <v>276</v>
      </c>
      <c r="B64" s="18"/>
      <c r="C64" s="18"/>
      <c r="D64" s="18"/>
      <c r="F64" s="99" t="s">
        <v>277</v>
      </c>
      <c r="G64" s="100">
        <f>(G60+G61+G62)/3</f>
        <v>7.8541578126881062E-2</v>
      </c>
      <c r="H64" s="152"/>
      <c r="I64" s="152"/>
    </row>
    <row r="65" spans="1:9" x14ac:dyDescent="0.45">
      <c r="A65" t="s">
        <v>278</v>
      </c>
      <c r="B65" s="18"/>
      <c r="C65" s="18"/>
      <c r="D65" s="18"/>
      <c r="F65" s="83"/>
      <c r="G65" s="83"/>
      <c r="H65" s="83"/>
      <c r="I65" s="83"/>
    </row>
    <row r="66" spans="1:9" x14ac:dyDescent="0.45">
      <c r="A66" s="18"/>
      <c r="B66" s="18"/>
      <c r="C66" s="18"/>
      <c r="D66" s="18"/>
      <c r="F66" s="83"/>
      <c r="G66" s="83"/>
      <c r="H66" s="83"/>
      <c r="I66" s="83"/>
    </row>
    <row r="67" spans="1:9" x14ac:dyDescent="0.45">
      <c r="A67" s="18"/>
      <c r="B67" s="18"/>
      <c r="C67" s="18"/>
      <c r="D67" s="18"/>
      <c r="F67" s="83"/>
      <c r="G67" s="83"/>
      <c r="H67" s="83"/>
      <c r="I67" s="83"/>
    </row>
  </sheetData>
  <mergeCells count="14">
    <mergeCell ref="I9:L9"/>
    <mergeCell ref="M9:P9"/>
    <mergeCell ref="M8:P8"/>
    <mergeCell ref="I6:L6"/>
    <mergeCell ref="I7:L7"/>
    <mergeCell ref="I8:L8"/>
    <mergeCell ref="M6:P6"/>
    <mergeCell ref="M7:P7"/>
    <mergeCell ref="I3:L3"/>
    <mergeCell ref="I4:L4"/>
    <mergeCell ref="I5:L5"/>
    <mergeCell ref="M3:P3"/>
    <mergeCell ref="M4:P4"/>
    <mergeCell ref="M5:P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B2F1-C500-46E1-BEE2-9B8D6D365F99}">
  <dimension ref="A1:O33"/>
  <sheetViews>
    <sheetView zoomScale="115" zoomScaleNormal="115" workbookViewId="0">
      <selection activeCell="A28" sqref="A28:XFD28"/>
    </sheetView>
  </sheetViews>
  <sheetFormatPr defaultColWidth="63.265625" defaultRowHeight="14.25" x14ac:dyDescent="0.45"/>
  <cols>
    <col min="1" max="1" width="27.265625" style="178" bestFit="1" customWidth="1"/>
    <col min="2" max="2" width="30.265625" style="178" customWidth="1"/>
    <col min="3" max="3" width="46.1328125" style="178" bestFit="1" customWidth="1"/>
    <col min="4" max="4" width="6.86328125" style="178" bestFit="1" customWidth="1"/>
    <col min="5" max="5" width="24" style="178" bestFit="1" customWidth="1"/>
    <col min="6" max="6" width="44.3984375" style="178" bestFit="1" customWidth="1"/>
    <col min="7" max="7" width="13.3984375" style="178" bestFit="1" customWidth="1"/>
    <col min="8" max="8" width="11.3984375" style="178" bestFit="1" customWidth="1"/>
    <col min="9" max="9" width="19.3984375" style="178" bestFit="1" customWidth="1"/>
    <col min="10" max="10" width="10" style="178" bestFit="1" customWidth="1"/>
    <col min="11" max="11" width="24.1328125" style="178" bestFit="1" customWidth="1"/>
    <col min="12" max="12" width="18.1328125" style="178" bestFit="1" customWidth="1"/>
    <col min="13" max="13" width="7.73046875" style="178" bestFit="1" customWidth="1"/>
    <col min="14" max="14" width="37.3984375" style="178" bestFit="1" customWidth="1"/>
    <col min="15" max="15" width="12.1328125" style="178" bestFit="1" customWidth="1"/>
    <col min="16" max="16384" width="63.265625" style="178"/>
  </cols>
  <sheetData>
    <row r="1" spans="1:15" ht="18" customHeight="1" x14ac:dyDescent="0.45">
      <c r="A1" s="176" t="s">
        <v>279</v>
      </c>
      <c r="B1" s="177" t="s">
        <v>280</v>
      </c>
      <c r="C1" s="177" t="s">
        <v>281</v>
      </c>
      <c r="D1" s="177" t="s">
        <v>282</v>
      </c>
      <c r="E1" s="177" t="s">
        <v>283</v>
      </c>
      <c r="F1" s="177" t="s">
        <v>284</v>
      </c>
      <c r="G1" s="177" t="s">
        <v>285</v>
      </c>
      <c r="H1" s="177" t="s">
        <v>286</v>
      </c>
      <c r="I1" s="177" t="s">
        <v>287</v>
      </c>
      <c r="J1" s="177" t="s">
        <v>288</v>
      </c>
      <c r="K1" s="177" t="s">
        <v>289</v>
      </c>
      <c r="L1" s="177" t="s">
        <v>290</v>
      </c>
      <c r="M1" s="177" t="s">
        <v>291</v>
      </c>
      <c r="N1" s="177" t="s">
        <v>292</v>
      </c>
      <c r="O1" s="177" t="s">
        <v>293</v>
      </c>
    </row>
    <row r="2" spans="1:15" s="357" customFormat="1" x14ac:dyDescent="0.45">
      <c r="A2" s="353">
        <v>44929</v>
      </c>
      <c r="B2" s="354" t="s">
        <v>294</v>
      </c>
      <c r="C2" s="354" t="s">
        <v>295</v>
      </c>
      <c r="D2" s="354" t="s">
        <v>296</v>
      </c>
      <c r="E2" s="355">
        <v>97197</v>
      </c>
      <c r="F2" s="355">
        <v>650</v>
      </c>
      <c r="G2" s="356">
        <f>3167</f>
        <v>3167</v>
      </c>
      <c r="H2" s="356">
        <f>1245</f>
        <v>1245</v>
      </c>
      <c r="I2" s="355">
        <f>E2*1.95%</f>
        <v>1895.3415</v>
      </c>
      <c r="J2" s="355">
        <f>E2/100*0.42</f>
        <v>408.22739999999999</v>
      </c>
      <c r="K2" s="355">
        <v>300</v>
      </c>
      <c r="L2" s="355">
        <v>300</v>
      </c>
      <c r="M2" s="355">
        <v>0</v>
      </c>
      <c r="N2" s="355">
        <f t="shared" ref="N2:N6" si="0">E2*14.5%</f>
        <v>14093.564999999999</v>
      </c>
      <c r="O2" s="355">
        <f>SUM(E2:N2)</f>
        <v>119256.1339</v>
      </c>
    </row>
    <row r="3" spans="1:15" s="357" customFormat="1" x14ac:dyDescent="0.45">
      <c r="A3" s="353">
        <v>44958</v>
      </c>
      <c r="B3" s="354" t="s">
        <v>297</v>
      </c>
      <c r="C3" s="354" t="s">
        <v>295</v>
      </c>
      <c r="D3" s="354" t="s">
        <v>298</v>
      </c>
      <c r="E3" s="355">
        <f>114465/12*11</f>
        <v>104926.25</v>
      </c>
      <c r="F3" s="355">
        <f>650/12*11</f>
        <v>595.83333333333326</v>
      </c>
      <c r="G3" s="356">
        <f>3167</f>
        <v>3167</v>
      </c>
      <c r="H3" s="356">
        <f>1245</f>
        <v>1245</v>
      </c>
      <c r="I3" s="355">
        <f t="shared" ref="I3:I12" si="1">E3*1.95%</f>
        <v>2046.0618750000001</v>
      </c>
      <c r="J3" s="355">
        <f>E3/100*0.42</f>
        <v>440.69024999999999</v>
      </c>
      <c r="K3" s="355">
        <v>300</v>
      </c>
      <c r="L3" s="355">
        <v>300</v>
      </c>
      <c r="M3" s="355">
        <v>0</v>
      </c>
      <c r="N3" s="355">
        <f t="shared" si="0"/>
        <v>15214.30625</v>
      </c>
      <c r="O3" s="355">
        <f>SUM(E3:N3)</f>
        <v>128235.14170833332</v>
      </c>
    </row>
    <row r="4" spans="1:15" x14ac:dyDescent="0.45">
      <c r="A4" s="191">
        <v>45017</v>
      </c>
      <c r="B4" s="179" t="s">
        <v>299</v>
      </c>
      <c r="C4" s="179" t="s">
        <v>300</v>
      </c>
      <c r="D4" s="179" t="s">
        <v>298</v>
      </c>
      <c r="E4" s="180">
        <f>114465/12*9</f>
        <v>85848.75</v>
      </c>
      <c r="F4" s="180">
        <f>650/12*9</f>
        <v>487.5</v>
      </c>
      <c r="G4" s="181">
        <f>3167</f>
        <v>3167</v>
      </c>
      <c r="H4" s="181">
        <f>1245</f>
        <v>1245</v>
      </c>
      <c r="I4" s="180">
        <f t="shared" si="1"/>
        <v>1674.0506250000001</v>
      </c>
      <c r="J4" s="180">
        <f t="shared" ref="J4" si="2">E4/100*0.42</f>
        <v>360.56474999999995</v>
      </c>
      <c r="K4" s="180">
        <v>225</v>
      </c>
      <c r="L4" s="180">
        <v>300</v>
      </c>
      <c r="M4" s="180">
        <v>0</v>
      </c>
      <c r="N4" s="180">
        <f t="shared" si="0"/>
        <v>12448.068749999999</v>
      </c>
      <c r="O4" s="180">
        <f t="shared" ref="O4:O6" si="3">SUM(E4:N4)</f>
        <v>105755.934125</v>
      </c>
    </row>
    <row r="5" spans="1:15" x14ac:dyDescent="0.45">
      <c r="A5" s="191">
        <v>44986</v>
      </c>
      <c r="B5" s="179" t="s">
        <v>301</v>
      </c>
      <c r="C5" s="179" t="s">
        <v>295</v>
      </c>
      <c r="D5" s="179" t="s">
        <v>298</v>
      </c>
      <c r="E5" s="180">
        <f>114465/12*10</f>
        <v>95387.5</v>
      </c>
      <c r="F5" s="180">
        <f>650/12*10</f>
        <v>541.66666666666663</v>
      </c>
      <c r="G5" s="181">
        <f>3167</f>
        <v>3167</v>
      </c>
      <c r="H5" s="181">
        <f>1245</f>
        <v>1245</v>
      </c>
      <c r="I5" s="180">
        <f t="shared" si="1"/>
        <v>1860.0562500000001</v>
      </c>
      <c r="J5" s="180">
        <f>E5/100*0.42</f>
        <v>400.6275</v>
      </c>
      <c r="K5" s="180">
        <v>225</v>
      </c>
      <c r="L5" s="180">
        <v>300</v>
      </c>
      <c r="M5" s="180">
        <v>0</v>
      </c>
      <c r="N5" s="180">
        <f t="shared" si="0"/>
        <v>13831.187499999998</v>
      </c>
      <c r="O5" s="180">
        <f t="shared" si="3"/>
        <v>116958.03791666667</v>
      </c>
    </row>
    <row r="6" spans="1:15" x14ac:dyDescent="0.45">
      <c r="A6" s="191">
        <v>44986</v>
      </c>
      <c r="B6" s="179" t="s">
        <v>302</v>
      </c>
      <c r="C6" s="179" t="s">
        <v>303</v>
      </c>
      <c r="D6" s="179" t="s">
        <v>296</v>
      </c>
      <c r="E6" s="180">
        <f>91313/12*10</f>
        <v>76094.166666666672</v>
      </c>
      <c r="F6" s="180">
        <f>650/12*10</f>
        <v>541.66666666666663</v>
      </c>
      <c r="G6" s="181">
        <f>3167</f>
        <v>3167</v>
      </c>
      <c r="H6" s="181">
        <f>1245</f>
        <v>1245</v>
      </c>
      <c r="I6" s="180">
        <f>E6*1.95%</f>
        <v>1483.8362500000001</v>
      </c>
      <c r="J6" s="180">
        <f t="shared" ref="J6:J12" si="4">E6/100*0.42</f>
        <v>319.59550000000002</v>
      </c>
      <c r="K6" s="180">
        <v>225</v>
      </c>
      <c r="L6" s="180">
        <v>300</v>
      </c>
      <c r="M6" s="180">
        <v>0</v>
      </c>
      <c r="N6" s="180">
        <f t="shared" si="0"/>
        <v>11033.654166666667</v>
      </c>
      <c r="O6" s="180">
        <f t="shared" si="3"/>
        <v>94409.919250000006</v>
      </c>
    </row>
    <row r="7" spans="1:15" x14ac:dyDescent="0.45">
      <c r="A7" s="191">
        <v>45017</v>
      </c>
      <c r="B7" s="179" t="s">
        <v>304</v>
      </c>
      <c r="C7" s="179" t="s">
        <v>295</v>
      </c>
      <c r="D7" s="179" t="s">
        <v>305</v>
      </c>
      <c r="E7" s="180">
        <f>141801/12*9</f>
        <v>106350.75</v>
      </c>
      <c r="F7" s="180">
        <f>650/12*9</f>
        <v>487.5</v>
      </c>
      <c r="G7" s="181">
        <f>3167</f>
        <v>3167</v>
      </c>
      <c r="H7" s="181">
        <f>1245</f>
        <v>1245</v>
      </c>
      <c r="I7" s="180">
        <f t="shared" si="1"/>
        <v>2073.8396250000001</v>
      </c>
      <c r="J7" s="180">
        <f t="shared" si="4"/>
        <v>446.67314999999996</v>
      </c>
      <c r="K7" s="180">
        <v>225</v>
      </c>
      <c r="L7" s="180">
        <v>300</v>
      </c>
      <c r="M7" s="180">
        <v>0</v>
      </c>
      <c r="N7" s="180">
        <f t="shared" ref="N7:N12" si="5">E7*14.5%</f>
        <v>15420.858749999999</v>
      </c>
      <c r="O7" s="180">
        <f t="shared" ref="O7:O12" si="6">SUM(E7:N7)</f>
        <v>129716.621525</v>
      </c>
    </row>
    <row r="8" spans="1:15" s="357" customFormat="1" x14ac:dyDescent="0.45">
      <c r="A8" s="353">
        <v>44958</v>
      </c>
      <c r="B8" s="354" t="s">
        <v>306</v>
      </c>
      <c r="C8" s="354" t="s">
        <v>295</v>
      </c>
      <c r="D8" s="354" t="s">
        <v>307</v>
      </c>
      <c r="E8" s="355">
        <f>184285/12*11</f>
        <v>168927.91666666669</v>
      </c>
      <c r="F8" s="355">
        <f>650/12*11</f>
        <v>595.83333333333326</v>
      </c>
      <c r="G8" s="356">
        <f>3167</f>
        <v>3167</v>
      </c>
      <c r="H8" s="356">
        <f>1245</f>
        <v>1245</v>
      </c>
      <c r="I8" s="355">
        <f t="shared" si="1"/>
        <v>3294.0943750000006</v>
      </c>
      <c r="J8" s="355">
        <f t="shared" si="4"/>
        <v>709.49725000000012</v>
      </c>
      <c r="K8" s="355">
        <v>225</v>
      </c>
      <c r="L8" s="355">
        <v>300</v>
      </c>
      <c r="M8" s="355">
        <v>0</v>
      </c>
      <c r="N8" s="355">
        <f t="shared" si="5"/>
        <v>24494.547916666666</v>
      </c>
      <c r="O8" s="355">
        <f t="shared" si="6"/>
        <v>202958.88954166669</v>
      </c>
    </row>
    <row r="9" spans="1:15" x14ac:dyDescent="0.45">
      <c r="A9" s="191">
        <v>44986</v>
      </c>
      <c r="B9" s="179" t="s">
        <v>308</v>
      </c>
      <c r="C9" s="179" t="s">
        <v>295</v>
      </c>
      <c r="D9" s="179" t="s">
        <v>309</v>
      </c>
      <c r="E9" s="180">
        <f>61927/12*10</f>
        <v>51605.833333333328</v>
      </c>
      <c r="F9" s="180">
        <f>650/12*10</f>
        <v>541.66666666666663</v>
      </c>
      <c r="G9" s="181">
        <f>3167</f>
        <v>3167</v>
      </c>
      <c r="H9" s="181">
        <f>1245</f>
        <v>1245</v>
      </c>
      <c r="I9" s="180">
        <f t="shared" si="1"/>
        <v>1006.3137499999999</v>
      </c>
      <c r="J9" s="180">
        <f t="shared" si="4"/>
        <v>216.74449999999996</v>
      </c>
      <c r="K9" s="180">
        <v>225</v>
      </c>
      <c r="L9" s="180">
        <v>300</v>
      </c>
      <c r="M9" s="180">
        <v>0</v>
      </c>
      <c r="N9" s="180">
        <f t="shared" si="5"/>
        <v>7482.8458333333319</v>
      </c>
      <c r="O9" s="180">
        <f t="shared" si="6"/>
        <v>65790.404083333327</v>
      </c>
    </row>
    <row r="10" spans="1:15" ht="28.5" x14ac:dyDescent="0.45">
      <c r="A10" s="191">
        <v>44986</v>
      </c>
      <c r="B10" s="179" t="s">
        <v>310</v>
      </c>
      <c r="C10" s="179" t="s">
        <v>295</v>
      </c>
      <c r="D10" s="179" t="s">
        <v>311</v>
      </c>
      <c r="E10" s="180">
        <f>156904/12*10</f>
        <v>130753.33333333334</v>
      </c>
      <c r="F10" s="180">
        <f>650/12*10</f>
        <v>541.66666666666663</v>
      </c>
      <c r="G10" s="181">
        <f>3167</f>
        <v>3167</v>
      </c>
      <c r="H10" s="181">
        <f>1245</f>
        <v>1245</v>
      </c>
      <c r="I10" s="180">
        <f t="shared" si="1"/>
        <v>2549.69</v>
      </c>
      <c r="J10" s="180">
        <f t="shared" si="4"/>
        <v>549.1640000000001</v>
      </c>
      <c r="K10" s="180">
        <v>225</v>
      </c>
      <c r="L10" s="180">
        <v>300</v>
      </c>
      <c r="M10" s="180">
        <v>0</v>
      </c>
      <c r="N10" s="180">
        <f t="shared" si="5"/>
        <v>18959.233333333334</v>
      </c>
      <c r="O10" s="180">
        <f t="shared" si="6"/>
        <v>158290.08733333333</v>
      </c>
    </row>
    <row r="11" spans="1:15" x14ac:dyDescent="0.45">
      <c r="A11" s="191">
        <v>45017</v>
      </c>
      <c r="B11" s="179" t="s">
        <v>312</v>
      </c>
      <c r="C11" s="179" t="s">
        <v>295</v>
      </c>
      <c r="D11" s="179" t="s">
        <v>313</v>
      </c>
      <c r="E11" s="180">
        <f>80749/12*9</f>
        <v>60561.75</v>
      </c>
      <c r="F11" s="180">
        <f>650/12*9</f>
        <v>487.5</v>
      </c>
      <c r="G11" s="181">
        <f>3167</f>
        <v>3167</v>
      </c>
      <c r="H11" s="181">
        <f>1245</f>
        <v>1245</v>
      </c>
      <c r="I11" s="180">
        <f t="shared" si="1"/>
        <v>1180.954125</v>
      </c>
      <c r="J11" s="180">
        <f t="shared" si="4"/>
        <v>254.35934999999998</v>
      </c>
      <c r="K11" s="180">
        <v>225</v>
      </c>
      <c r="L11" s="180">
        <v>300</v>
      </c>
      <c r="M11" s="180">
        <v>0</v>
      </c>
      <c r="N11" s="180">
        <f t="shared" si="5"/>
        <v>8781.4537499999988</v>
      </c>
      <c r="O11" s="180">
        <f t="shared" si="6"/>
        <v>76203.017225000003</v>
      </c>
    </row>
    <row r="12" spans="1:15" x14ac:dyDescent="0.45">
      <c r="A12" s="191">
        <v>44986</v>
      </c>
      <c r="B12" s="179" t="s">
        <v>314</v>
      </c>
      <c r="C12" s="179" t="s">
        <v>295</v>
      </c>
      <c r="D12" s="179" t="s">
        <v>311</v>
      </c>
      <c r="E12" s="180">
        <f>151970/12*10</f>
        <v>126641.66666666666</v>
      </c>
      <c r="F12" s="180">
        <f>651/12*10</f>
        <v>542.5</v>
      </c>
      <c r="G12" s="181">
        <f>3167</f>
        <v>3167</v>
      </c>
      <c r="H12" s="181">
        <f>1245</f>
        <v>1245</v>
      </c>
      <c r="I12" s="180">
        <f t="shared" si="1"/>
        <v>2469.5124999999998</v>
      </c>
      <c r="J12" s="180">
        <f t="shared" si="4"/>
        <v>531.89499999999987</v>
      </c>
      <c r="K12" s="180">
        <v>225</v>
      </c>
      <c r="L12" s="180">
        <v>300</v>
      </c>
      <c r="M12" s="180">
        <v>0</v>
      </c>
      <c r="N12" s="180">
        <f t="shared" si="5"/>
        <v>18363.041666666664</v>
      </c>
      <c r="O12" s="180">
        <f t="shared" si="6"/>
        <v>153485.61583333332</v>
      </c>
    </row>
    <row r="13" spans="1:15" x14ac:dyDescent="0.45">
      <c r="B13" s="179"/>
      <c r="C13" s="179"/>
      <c r="D13" s="179"/>
      <c r="E13" s="180">
        <f t="shared" ref="E13:J13" si="7">SUM(E2:E12)</f>
        <v>1104294.916666667</v>
      </c>
      <c r="F13" s="180">
        <f t="shared" si="7"/>
        <v>6013.3333333333339</v>
      </c>
      <c r="G13" s="180">
        <f t="shared" si="7"/>
        <v>34837</v>
      </c>
      <c r="H13" s="180">
        <f t="shared" si="7"/>
        <v>13695</v>
      </c>
      <c r="I13" s="180">
        <f t="shared" si="7"/>
        <v>21533.750875000002</v>
      </c>
      <c r="J13" s="180">
        <f t="shared" si="7"/>
        <v>4638.0386499999995</v>
      </c>
      <c r="K13" s="180">
        <f t="shared" ref="K13:M13" si="8">SUM(K2:K12)</f>
        <v>2625</v>
      </c>
      <c r="L13" s="180">
        <f t="shared" si="8"/>
        <v>3300</v>
      </c>
      <c r="M13" s="180">
        <f t="shared" si="8"/>
        <v>0</v>
      </c>
      <c r="N13" s="180">
        <f>SUM(N2:N12)</f>
        <v>160122.76291666663</v>
      </c>
      <c r="O13" s="180"/>
    </row>
    <row r="14" spans="1:15" x14ac:dyDescent="0.45">
      <c r="B14" s="179"/>
      <c r="C14" s="179"/>
      <c r="D14" s="179"/>
      <c r="E14" s="180"/>
      <c r="F14" s="180"/>
      <c r="G14" s="181"/>
      <c r="H14" s="181"/>
      <c r="I14" s="180"/>
      <c r="J14" s="180"/>
      <c r="K14" s="180"/>
      <c r="L14" s="180"/>
      <c r="M14" s="180"/>
      <c r="N14" s="180"/>
      <c r="O14" s="180"/>
    </row>
    <row r="15" spans="1:15" x14ac:dyDescent="0.45">
      <c r="B15" s="179"/>
      <c r="C15" s="179"/>
      <c r="D15" s="179"/>
      <c r="E15" s="180"/>
      <c r="F15" s="180"/>
      <c r="G15" s="181"/>
      <c r="H15" s="181"/>
      <c r="I15" s="180"/>
      <c r="J15" s="180"/>
      <c r="K15" s="180"/>
      <c r="L15" s="180"/>
      <c r="M15" s="180"/>
      <c r="N15" s="180"/>
      <c r="O15" s="180"/>
    </row>
    <row r="16" spans="1:15" x14ac:dyDescent="0.45">
      <c r="B16" s="179"/>
      <c r="C16" s="179"/>
      <c r="D16" s="179"/>
      <c r="E16" s="180"/>
      <c r="F16" s="180"/>
      <c r="G16" s="181"/>
      <c r="H16" s="181"/>
      <c r="I16" s="180"/>
      <c r="J16" s="180"/>
      <c r="K16" s="180"/>
      <c r="L16" s="180"/>
      <c r="M16" s="180"/>
      <c r="N16" s="180"/>
      <c r="O16" s="180"/>
    </row>
    <row r="17" spans="1:15" x14ac:dyDescent="0.45">
      <c r="B17" s="179"/>
      <c r="C17" s="179"/>
      <c r="D17" s="179"/>
      <c r="E17" s="180"/>
      <c r="F17" s="180"/>
      <c r="G17" s="181"/>
      <c r="H17" s="181"/>
      <c r="I17" s="180"/>
      <c r="J17" s="180"/>
      <c r="K17" s="180"/>
      <c r="L17" s="180"/>
      <c r="M17" s="180"/>
      <c r="N17" s="180"/>
      <c r="O17" s="180"/>
    </row>
    <row r="18" spans="1:15" ht="14.65" thickBot="1" x14ac:dyDescent="0.5">
      <c r="B18" s="179"/>
      <c r="C18" s="179"/>
      <c r="D18" s="179"/>
      <c r="E18" s="180"/>
      <c r="F18" s="180"/>
      <c r="G18" s="181"/>
      <c r="H18" s="181"/>
      <c r="I18" s="180"/>
      <c r="J18" s="180"/>
      <c r="K18" s="180"/>
      <c r="L18" s="180"/>
      <c r="M18" s="180"/>
      <c r="N18" s="180"/>
      <c r="O18" s="180"/>
    </row>
    <row r="19" spans="1:15" x14ac:dyDescent="0.45">
      <c r="B19" s="179"/>
      <c r="C19" s="179"/>
      <c r="D19" s="179"/>
      <c r="E19" s="182" t="s">
        <v>315</v>
      </c>
      <c r="F19" s="183">
        <f>E7+G7+H7+I7+J7+E8+G8+H8+I8+J8+E10+G10+H10+I10+J10+E12+G12+H12+I12+J12</f>
        <v>562946.03256666672</v>
      </c>
      <c r="G19" s="179"/>
      <c r="H19" s="179"/>
      <c r="I19" s="179"/>
      <c r="J19" s="179"/>
      <c r="K19" s="179"/>
      <c r="L19" s="179"/>
      <c r="M19" s="179"/>
      <c r="N19" s="179"/>
      <c r="O19" s="179"/>
    </row>
    <row r="20" spans="1:15" x14ac:dyDescent="0.45">
      <c r="B20" s="179"/>
      <c r="C20" s="179"/>
      <c r="D20" s="179"/>
      <c r="E20" s="184" t="s">
        <v>316</v>
      </c>
      <c r="F20" s="185">
        <f>E13+G13+H13+I13+J13-F19</f>
        <v>616052.67362500017</v>
      </c>
      <c r="G20" s="352"/>
      <c r="H20" s="179"/>
      <c r="I20" s="179"/>
      <c r="J20" s="179"/>
      <c r="K20" s="179"/>
      <c r="L20" s="179"/>
      <c r="M20" s="179"/>
      <c r="N20" s="179"/>
      <c r="O20" s="179"/>
    </row>
    <row r="21" spans="1:15" x14ac:dyDescent="0.45">
      <c r="B21" s="179"/>
      <c r="C21" s="179"/>
      <c r="D21" s="179"/>
      <c r="E21" s="184" t="s">
        <v>317</v>
      </c>
      <c r="F21" s="185">
        <f>N13</f>
        <v>160122.76291666663</v>
      </c>
      <c r="G21" s="179"/>
      <c r="H21" s="179"/>
      <c r="I21" s="179"/>
      <c r="J21" s="179"/>
      <c r="K21" s="179"/>
      <c r="L21" s="179"/>
      <c r="M21" s="179"/>
      <c r="N21" s="179"/>
      <c r="O21" s="179"/>
    </row>
    <row r="22" spans="1:15" x14ac:dyDescent="0.45">
      <c r="B22" s="179"/>
      <c r="C22" s="179"/>
      <c r="D22" s="179"/>
      <c r="E22" s="184" t="s">
        <v>318</v>
      </c>
      <c r="F22" s="185">
        <f>F13+K13+L13+M13</f>
        <v>11938.333333333334</v>
      </c>
      <c r="G22" s="179"/>
      <c r="H22" s="179"/>
      <c r="I22" s="179"/>
      <c r="J22" s="179"/>
      <c r="K22" s="179"/>
      <c r="L22" s="179"/>
      <c r="M22" s="179"/>
      <c r="N22" s="179"/>
      <c r="O22" s="179"/>
    </row>
    <row r="23" spans="1:15" ht="14.65" thickBot="1" x14ac:dyDescent="0.5">
      <c r="E23" s="186" t="s">
        <v>319</v>
      </c>
      <c r="F23" s="187">
        <v>75000</v>
      </c>
    </row>
    <row r="24" spans="1:15" ht="14.65" thickBot="1" x14ac:dyDescent="0.5">
      <c r="D24" s="188"/>
      <c r="E24" s="189" t="s">
        <v>320</v>
      </c>
      <c r="F24" s="190">
        <f>F19+F20+F21+F22+F23</f>
        <v>1426059.8024416668</v>
      </c>
    </row>
    <row r="25" spans="1:15" ht="14.65" thickTop="1" x14ac:dyDescent="0.45"/>
    <row r="27" spans="1:15" x14ac:dyDescent="0.45">
      <c r="C27" s="192"/>
    </row>
    <row r="28" spans="1:15" x14ac:dyDescent="0.45">
      <c r="A28" s="191">
        <v>45292</v>
      </c>
      <c r="B28" s="179" t="s">
        <v>321</v>
      </c>
      <c r="C28" s="179" t="s">
        <v>295</v>
      </c>
      <c r="D28" s="179" t="s">
        <v>298</v>
      </c>
      <c r="E28" s="180">
        <f>114465/12*10</f>
        <v>95387.5</v>
      </c>
      <c r="F28" s="180">
        <f>650/12*10</f>
        <v>541.66666666666663</v>
      </c>
      <c r="G28" s="181">
        <f>3167</f>
        <v>3167</v>
      </c>
      <c r="H28" s="181">
        <f>1245</f>
        <v>1245</v>
      </c>
      <c r="I28" s="180">
        <f t="shared" ref="I28" si="9">E28*1.95%</f>
        <v>1860.0562500000001</v>
      </c>
      <c r="J28" s="180">
        <f t="shared" ref="J28" si="10">E28/100*0.42</f>
        <v>400.6275</v>
      </c>
      <c r="K28" s="180">
        <v>225</v>
      </c>
      <c r="L28" s="180">
        <v>300</v>
      </c>
      <c r="M28" s="180">
        <v>0</v>
      </c>
      <c r="N28" s="180">
        <f t="shared" ref="N28" si="11">E28*14.5%</f>
        <v>13831.187499999998</v>
      </c>
      <c r="O28" s="180">
        <f t="shared" ref="O28" si="12">SUM(E28:N28)</f>
        <v>116958.03791666667</v>
      </c>
    </row>
    <row r="32" spans="1:15" x14ac:dyDescent="0.45">
      <c r="C32" s="192"/>
    </row>
    <row r="33" spans="3:3" x14ac:dyDescent="0.45">
      <c r="C33" s="192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5C21-5236-47E7-8A72-35C83CF02D39}">
  <dimension ref="A1:J15"/>
  <sheetViews>
    <sheetView showGridLines="0" zoomScale="130" zoomScaleNormal="130" workbookViewId="0">
      <selection activeCell="D6" sqref="D6"/>
    </sheetView>
  </sheetViews>
  <sheetFormatPr defaultColWidth="11.3984375" defaultRowHeight="14.25" x14ac:dyDescent="0.45"/>
  <cols>
    <col min="3" max="3" width="39.3984375" customWidth="1"/>
    <col min="4" max="4" width="20.3984375" customWidth="1"/>
    <col min="5" max="6" width="17.3984375" customWidth="1"/>
    <col min="7" max="7" width="53.265625" customWidth="1"/>
    <col min="8" max="8" width="88.1328125" customWidth="1"/>
  </cols>
  <sheetData>
    <row r="1" spans="1:10" x14ac:dyDescent="0.45">
      <c r="A1" s="414" t="s">
        <v>322</v>
      </c>
      <c r="B1" s="414"/>
      <c r="C1" s="414"/>
      <c r="D1" s="414"/>
      <c r="E1" s="414"/>
      <c r="F1" s="334"/>
    </row>
    <row r="3" spans="1:10" ht="28.5" x14ac:dyDescent="0.45">
      <c r="B3" s="141" t="s">
        <v>211</v>
      </c>
      <c r="C3" s="141" t="s">
        <v>212</v>
      </c>
      <c r="D3" s="74" t="s">
        <v>8</v>
      </c>
      <c r="E3" s="74" t="s">
        <v>9</v>
      </c>
      <c r="F3" s="74">
        <v>2023</v>
      </c>
      <c r="G3" s="74" t="s">
        <v>213</v>
      </c>
      <c r="H3" s="74" t="s">
        <v>214</v>
      </c>
      <c r="J3" s="18"/>
    </row>
    <row r="4" spans="1:10" ht="114.75" customHeight="1" x14ac:dyDescent="0.45">
      <c r="B4" s="72">
        <v>3</v>
      </c>
      <c r="C4" s="90" t="s">
        <v>323</v>
      </c>
      <c r="D4" s="75">
        <v>150000</v>
      </c>
      <c r="E4" s="75">
        <f>ROUNDUP(424116/3,-4)</f>
        <v>150000</v>
      </c>
      <c r="F4" s="343">
        <f>ROUNDUP(424116/3,-4)</f>
        <v>150000</v>
      </c>
      <c r="G4" s="17" t="s">
        <v>324</v>
      </c>
      <c r="H4" s="17" t="s">
        <v>325</v>
      </c>
    </row>
    <row r="5" spans="1:10" ht="111" customHeight="1" x14ac:dyDescent="0.45">
      <c r="B5" s="72">
        <v>4</v>
      </c>
      <c r="C5" s="90" t="s">
        <v>326</v>
      </c>
      <c r="D5" s="76">
        <v>40000</v>
      </c>
      <c r="E5" s="76">
        <f>ROUNDUP(66203/2,-4)</f>
        <v>40000</v>
      </c>
      <c r="F5" s="343">
        <f>ROUNDUP(66203/2,-4)</f>
        <v>40000</v>
      </c>
      <c r="G5" s="17" t="s">
        <v>327</v>
      </c>
      <c r="H5" s="17" t="s">
        <v>328</v>
      </c>
    </row>
    <row r="6" spans="1:10" x14ac:dyDescent="0.45">
      <c r="B6" s="18"/>
      <c r="C6" s="18"/>
    </row>
    <row r="7" spans="1:10" x14ac:dyDescent="0.45">
      <c r="B7" s="18"/>
      <c r="C7" s="18"/>
    </row>
    <row r="8" spans="1:10" x14ac:dyDescent="0.45">
      <c r="G8" s="299"/>
    </row>
    <row r="14" spans="1:10" x14ac:dyDescent="0.45">
      <c r="G14" s="193"/>
    </row>
    <row r="15" spans="1:10" x14ac:dyDescent="0.45">
      <c r="G15" s="19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55ED-C59A-4164-8373-3E238BA812D7}">
  <dimension ref="A1:I11"/>
  <sheetViews>
    <sheetView showGridLines="0" zoomScale="115" zoomScaleNormal="115" workbookViewId="0">
      <selection activeCell="F8" sqref="F8"/>
    </sheetView>
  </sheetViews>
  <sheetFormatPr defaultColWidth="11.3984375" defaultRowHeight="14.25" x14ac:dyDescent="0.45"/>
  <cols>
    <col min="3" max="4" width="33.3984375" customWidth="1"/>
    <col min="5" max="5" width="14.265625" bestFit="1" customWidth="1"/>
    <col min="6" max="6" width="38.3984375" customWidth="1"/>
    <col min="7" max="7" width="123.59765625" customWidth="1"/>
    <col min="8" max="8" width="97.59765625" customWidth="1"/>
    <col min="9" max="9" width="43.73046875" customWidth="1"/>
  </cols>
  <sheetData>
    <row r="1" spans="1:9" x14ac:dyDescent="0.45">
      <c r="A1" s="414" t="s">
        <v>329</v>
      </c>
      <c r="B1" s="414"/>
      <c r="C1" s="414"/>
      <c r="D1" s="414"/>
      <c r="E1" s="414"/>
      <c r="F1" s="414"/>
    </row>
    <row r="3" spans="1:9" ht="28.5" x14ac:dyDescent="0.45">
      <c r="B3" s="141" t="s">
        <v>211</v>
      </c>
      <c r="C3" s="141" t="s">
        <v>212</v>
      </c>
      <c r="D3" s="141">
        <v>2023</v>
      </c>
      <c r="E3" s="74" t="s">
        <v>8</v>
      </c>
      <c r="F3" s="74" t="s">
        <v>9</v>
      </c>
      <c r="G3" s="74" t="s">
        <v>213</v>
      </c>
      <c r="H3" s="74" t="s">
        <v>214</v>
      </c>
      <c r="I3" s="18"/>
    </row>
    <row r="4" spans="1:9" ht="34.9" customHeight="1" x14ac:dyDescent="0.45">
      <c r="B4" s="72">
        <v>5.0999999999999996</v>
      </c>
      <c r="C4" s="72" t="s">
        <v>330</v>
      </c>
      <c r="D4" s="86">
        <v>3000</v>
      </c>
      <c r="E4" s="86">
        <v>1000</v>
      </c>
      <c r="F4" s="87">
        <v>1000</v>
      </c>
      <c r="G4" s="173"/>
      <c r="H4" s="17"/>
    </row>
    <row r="5" spans="1:9" ht="76.900000000000006" customHeight="1" x14ac:dyDescent="0.45">
      <c r="B5" s="72">
        <v>5.2</v>
      </c>
      <c r="C5" s="72" t="s">
        <v>331</v>
      </c>
      <c r="D5" s="88">
        <v>5000</v>
      </c>
      <c r="E5" s="88">
        <v>5000</v>
      </c>
      <c r="F5" s="87">
        <v>5000</v>
      </c>
      <c r="G5" s="17"/>
      <c r="H5" s="17"/>
    </row>
    <row r="6" spans="1:9" ht="30" customHeight="1" x14ac:dyDescent="0.45">
      <c r="B6" s="72">
        <v>5.3</v>
      </c>
      <c r="C6" s="72" t="s">
        <v>332</v>
      </c>
      <c r="D6" s="88">
        <v>50000</v>
      </c>
      <c r="E6" s="88">
        <v>50000</v>
      </c>
      <c r="F6" s="87">
        <v>50000</v>
      </c>
      <c r="G6" s="17"/>
      <c r="H6" s="17"/>
      <c r="I6" s="16"/>
    </row>
    <row r="7" spans="1:9" ht="132.75" customHeight="1" x14ac:dyDescent="0.45">
      <c r="B7" s="72">
        <v>5.4</v>
      </c>
      <c r="C7" s="72" t="s">
        <v>333</v>
      </c>
      <c r="D7" s="88">
        <v>65000</v>
      </c>
      <c r="E7" s="88">
        <v>65000</v>
      </c>
      <c r="F7" s="87">
        <v>65000</v>
      </c>
      <c r="G7" s="89" t="s">
        <v>334</v>
      </c>
      <c r="H7" s="89" t="s">
        <v>335</v>
      </c>
      <c r="I7" s="16"/>
    </row>
    <row r="8" spans="1:9" ht="72" customHeight="1" x14ac:dyDescent="0.45">
      <c r="B8" s="72">
        <v>5.5</v>
      </c>
      <c r="C8" s="72" t="s">
        <v>336</v>
      </c>
      <c r="D8" s="88">
        <v>12000</v>
      </c>
      <c r="E8" s="88">
        <v>10000</v>
      </c>
      <c r="F8" s="88">
        <f>(750*12)+1000</f>
        <v>10000</v>
      </c>
      <c r="G8" s="17" t="s">
        <v>337</v>
      </c>
      <c r="H8" s="17" t="s">
        <v>338</v>
      </c>
    </row>
    <row r="9" spans="1:9" ht="28.5" x14ac:dyDescent="0.45">
      <c r="B9" s="72">
        <v>5.6</v>
      </c>
      <c r="C9" s="90" t="s">
        <v>339</v>
      </c>
      <c r="D9" s="88">
        <v>15000</v>
      </c>
      <c r="E9" s="88">
        <v>0</v>
      </c>
      <c r="F9" s="73">
        <v>0</v>
      </c>
      <c r="G9" s="27"/>
      <c r="H9" s="17"/>
    </row>
    <row r="11" spans="1:9" x14ac:dyDescent="0.45">
      <c r="A11" s="19"/>
      <c r="C11" s="19"/>
      <c r="D11" s="19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BDB0-7EB1-4AB1-AFAD-CB471E9F0883}">
  <dimension ref="A1:J15"/>
  <sheetViews>
    <sheetView showGridLines="0" topLeftCell="B7" zoomScale="145" zoomScaleNormal="145" workbookViewId="0">
      <selection activeCell="B12" sqref="B12"/>
    </sheetView>
  </sheetViews>
  <sheetFormatPr defaultColWidth="11.3984375" defaultRowHeight="14.25" x14ac:dyDescent="0.45"/>
  <cols>
    <col min="1" max="1" width="26.73046875" customWidth="1"/>
    <col min="3" max="4" width="39.265625" customWidth="1"/>
    <col min="5" max="6" width="21.73046875" customWidth="1"/>
    <col min="7" max="7" width="68.73046875" customWidth="1"/>
    <col min="8" max="8" width="67" customWidth="1"/>
    <col min="10" max="10" width="43.73046875" customWidth="1"/>
  </cols>
  <sheetData>
    <row r="1" spans="1:10" ht="14.65" thickBot="1" x14ac:dyDescent="0.5">
      <c r="A1" s="137" t="s">
        <v>340</v>
      </c>
      <c r="B1" s="138"/>
      <c r="C1" s="138"/>
      <c r="D1" s="138"/>
      <c r="E1" s="139"/>
      <c r="F1" s="139"/>
    </row>
    <row r="2" spans="1:10" x14ac:dyDescent="0.45">
      <c r="A2" s="1"/>
      <c r="C2" s="1"/>
      <c r="D2" s="1"/>
    </row>
    <row r="3" spans="1:10" ht="28.9" thickBot="1" x14ac:dyDescent="0.5">
      <c r="B3" s="141" t="s">
        <v>211</v>
      </c>
      <c r="C3" s="141" t="s">
        <v>212</v>
      </c>
      <c r="D3" s="144">
        <v>2023</v>
      </c>
      <c r="E3" s="74" t="s">
        <v>8</v>
      </c>
      <c r="F3" s="74" t="s">
        <v>9</v>
      </c>
      <c r="G3" s="74" t="s">
        <v>213</v>
      </c>
      <c r="H3" s="74" t="s">
        <v>214</v>
      </c>
      <c r="J3" s="18"/>
    </row>
    <row r="4" spans="1:10" x14ac:dyDescent="0.45">
      <c r="B4" s="141"/>
      <c r="C4" s="153" t="s">
        <v>341</v>
      </c>
      <c r="D4" s="74"/>
      <c r="E4" s="74"/>
      <c r="F4" s="74"/>
      <c r="G4" s="74"/>
      <c r="H4" s="74"/>
      <c r="J4" s="18"/>
    </row>
    <row r="5" spans="1:10" ht="99" customHeight="1" x14ac:dyDescent="0.45">
      <c r="A5" s="230" t="s">
        <v>58</v>
      </c>
      <c r="B5" s="72">
        <v>6.1</v>
      </c>
      <c r="C5" s="90" t="s">
        <v>342</v>
      </c>
      <c r="D5" s="351">
        <f>ROUNDUP((E5*1.05),-3)</f>
        <v>27000</v>
      </c>
      <c r="E5" s="87">
        <v>25000</v>
      </c>
      <c r="F5" s="87">
        <v>25000</v>
      </c>
      <c r="G5" s="17" t="s">
        <v>343</v>
      </c>
      <c r="H5" s="89" t="s">
        <v>344</v>
      </c>
      <c r="J5" s="16"/>
    </row>
    <row r="6" spans="1:10" ht="96" customHeight="1" x14ac:dyDescent="0.45">
      <c r="A6" s="230" t="s">
        <v>58</v>
      </c>
      <c r="B6" s="72">
        <v>6.2</v>
      </c>
      <c r="C6" s="90" t="s">
        <v>345</v>
      </c>
      <c r="D6" s="351">
        <f>ROUNDUP((E6*1.05),-3)</f>
        <v>69000</v>
      </c>
      <c r="E6" s="87">
        <v>65000</v>
      </c>
      <c r="F6" s="87">
        <v>65000</v>
      </c>
      <c r="G6" s="17" t="s">
        <v>343</v>
      </c>
      <c r="H6" s="89" t="s">
        <v>344</v>
      </c>
      <c r="J6" s="16"/>
    </row>
    <row r="7" spans="1:10" ht="28.5" x14ac:dyDescent="0.45">
      <c r="A7" s="230" t="s">
        <v>58</v>
      </c>
      <c r="B7" s="72">
        <v>6.3</v>
      </c>
      <c r="C7" s="90" t="s">
        <v>346</v>
      </c>
      <c r="D7" s="351">
        <f>E7</f>
        <v>30000</v>
      </c>
      <c r="E7" s="87">
        <v>30000</v>
      </c>
      <c r="F7" s="87">
        <v>30000</v>
      </c>
      <c r="G7" s="17" t="s">
        <v>347</v>
      </c>
      <c r="H7" s="89" t="s">
        <v>348</v>
      </c>
      <c r="J7" s="16"/>
    </row>
    <row r="8" spans="1:10" ht="55.15" customHeight="1" x14ac:dyDescent="0.45">
      <c r="B8" s="72">
        <v>6.4</v>
      </c>
      <c r="C8" s="90" t="s">
        <v>349</v>
      </c>
      <c r="D8" s="348">
        <v>75000</v>
      </c>
      <c r="E8" s="87">
        <v>75000</v>
      </c>
      <c r="F8" s="87">
        <v>75000</v>
      </c>
      <c r="G8" s="17" t="s">
        <v>602</v>
      </c>
      <c r="H8" s="89" t="s">
        <v>603</v>
      </c>
      <c r="J8" s="16"/>
    </row>
    <row r="9" spans="1:10" ht="49.5" customHeight="1" x14ac:dyDescent="0.45">
      <c r="B9" s="72">
        <v>6.5</v>
      </c>
      <c r="C9" s="90" t="s">
        <v>350</v>
      </c>
      <c r="D9" s="351">
        <v>30000</v>
      </c>
      <c r="E9" s="88">
        <v>30000</v>
      </c>
      <c r="F9" s="88">
        <v>30000</v>
      </c>
      <c r="G9" s="17"/>
      <c r="H9" s="89"/>
    </row>
    <row r="10" spans="1:10" ht="33.75" customHeight="1" x14ac:dyDescent="0.45">
      <c r="A10" s="230"/>
      <c r="B10" s="72">
        <v>6.6</v>
      </c>
      <c r="C10" s="90" t="s">
        <v>351</v>
      </c>
      <c r="D10" s="351">
        <v>20000</v>
      </c>
      <c r="E10" s="88">
        <v>10000</v>
      </c>
      <c r="F10" s="88">
        <v>10000</v>
      </c>
      <c r="G10" s="17" t="s">
        <v>604</v>
      </c>
      <c r="H10" s="89" t="s">
        <v>605</v>
      </c>
    </row>
    <row r="11" spans="1:10" ht="63" customHeight="1" x14ac:dyDescent="0.45">
      <c r="B11" s="72">
        <v>6.7</v>
      </c>
      <c r="C11" s="90" t="s">
        <v>352</v>
      </c>
      <c r="D11" s="351">
        <v>75000</v>
      </c>
      <c r="E11" s="88">
        <v>35000</v>
      </c>
      <c r="F11" s="88">
        <v>35000</v>
      </c>
      <c r="G11" s="17" t="s">
        <v>347</v>
      </c>
      <c r="H11" s="89" t="s">
        <v>348</v>
      </c>
    </row>
    <row r="12" spans="1:10" ht="63" customHeight="1" x14ac:dyDescent="0.45">
      <c r="B12" s="72">
        <v>6.8</v>
      </c>
      <c r="C12" s="90" t="s">
        <v>74</v>
      </c>
      <c r="D12" s="351">
        <v>60000</v>
      </c>
      <c r="E12" s="88"/>
      <c r="F12" s="88"/>
      <c r="G12" s="17" t="s">
        <v>353</v>
      </c>
      <c r="H12" s="89" t="s">
        <v>354</v>
      </c>
    </row>
    <row r="13" spans="1:10" x14ac:dyDescent="0.45">
      <c r="A13" s="19"/>
      <c r="C13" s="19"/>
      <c r="D13" s="19"/>
    </row>
    <row r="15" spans="1:10" x14ac:dyDescent="0.45">
      <c r="C15" s="1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1D24-3DA6-49C7-91E3-DD3545839DF3}">
  <dimension ref="A1:K22"/>
  <sheetViews>
    <sheetView showGridLines="0" topLeftCell="A7" zoomScale="130" zoomScaleNormal="130" workbookViewId="0">
      <selection activeCell="D4" sqref="D4:D10"/>
    </sheetView>
  </sheetViews>
  <sheetFormatPr defaultColWidth="11.3984375" defaultRowHeight="14.25" x14ac:dyDescent="0.45"/>
  <cols>
    <col min="3" max="3" width="64.265625" customWidth="1"/>
    <col min="4" max="4" width="15.59765625" customWidth="1"/>
    <col min="5" max="5" width="14.265625" bestFit="1" customWidth="1"/>
    <col min="6" max="6" width="17.3984375" customWidth="1"/>
    <col min="7" max="7" width="79.59765625" customWidth="1"/>
    <col min="8" max="8" width="86.86328125" customWidth="1"/>
    <col min="10" max="10" width="43.73046875" customWidth="1"/>
  </cols>
  <sheetData>
    <row r="1" spans="1:11" x14ac:dyDescent="0.45">
      <c r="A1" s="79" t="s">
        <v>355</v>
      </c>
      <c r="B1" s="79"/>
      <c r="C1" s="79"/>
      <c r="D1" s="79"/>
      <c r="E1" s="79"/>
      <c r="F1" s="79"/>
    </row>
    <row r="3" spans="1:11" ht="28.5" x14ac:dyDescent="0.45">
      <c r="B3" s="141" t="s">
        <v>211</v>
      </c>
      <c r="C3" s="141" t="s">
        <v>212</v>
      </c>
      <c r="D3" s="144">
        <v>2023</v>
      </c>
      <c r="E3" s="74" t="s">
        <v>8</v>
      </c>
      <c r="F3" s="74" t="s">
        <v>9</v>
      </c>
      <c r="G3" s="74" t="s">
        <v>213</v>
      </c>
      <c r="H3" s="74" t="s">
        <v>214</v>
      </c>
      <c r="J3" s="18"/>
    </row>
    <row r="4" spans="1:11" ht="79.150000000000006" customHeight="1" x14ac:dyDescent="0.45">
      <c r="B4" s="72">
        <v>7.1</v>
      </c>
      <c r="C4" s="90" t="s">
        <v>356</v>
      </c>
      <c r="D4" s="308">
        <v>400000</v>
      </c>
      <c r="E4" s="86">
        <v>360000</v>
      </c>
      <c r="F4" s="87">
        <f>E4</f>
        <v>360000</v>
      </c>
      <c r="G4" s="17" t="s">
        <v>357</v>
      </c>
      <c r="H4" s="89" t="s">
        <v>358</v>
      </c>
      <c r="J4" s="16"/>
    </row>
    <row r="5" spans="1:11" ht="66.75" customHeight="1" x14ac:dyDescent="0.45">
      <c r="B5" s="72">
        <v>7.2</v>
      </c>
      <c r="C5" s="90" t="s">
        <v>359</v>
      </c>
      <c r="D5" s="308">
        <v>100000</v>
      </c>
      <c r="E5" s="88">
        <v>100000</v>
      </c>
      <c r="F5" s="87">
        <v>100000</v>
      </c>
      <c r="G5" s="17" t="s">
        <v>347</v>
      </c>
      <c r="H5" s="89" t="s">
        <v>348</v>
      </c>
      <c r="J5" s="16"/>
    </row>
    <row r="6" spans="1:11" ht="94.15" customHeight="1" x14ac:dyDescent="0.45">
      <c r="B6" s="72">
        <v>7.3</v>
      </c>
      <c r="C6" s="90" t="s">
        <v>360</v>
      </c>
      <c r="D6" s="308">
        <v>325000</v>
      </c>
      <c r="E6" s="88">
        <v>325000</v>
      </c>
      <c r="F6" s="87">
        <v>325000</v>
      </c>
      <c r="G6" s="17" t="s">
        <v>347</v>
      </c>
      <c r="H6" s="89" t="s">
        <v>348</v>
      </c>
      <c r="J6" s="16"/>
    </row>
    <row r="7" spans="1:11" ht="85.9" customHeight="1" x14ac:dyDescent="0.45">
      <c r="B7" s="72">
        <v>7.4</v>
      </c>
      <c r="C7" s="90" t="s">
        <v>361</v>
      </c>
      <c r="D7" s="308">
        <v>185000</v>
      </c>
      <c r="E7" s="88">
        <v>85000</v>
      </c>
      <c r="F7" s="87">
        <v>85000</v>
      </c>
      <c r="G7" s="17"/>
      <c r="H7" s="89"/>
      <c r="J7" s="16"/>
    </row>
    <row r="8" spans="1:11" ht="133.15" customHeight="1" x14ac:dyDescent="0.45">
      <c r="B8" s="72">
        <v>7.5</v>
      </c>
      <c r="C8" s="90" t="s">
        <v>362</v>
      </c>
      <c r="D8" s="308">
        <v>250000</v>
      </c>
      <c r="E8" s="88">
        <v>200000</v>
      </c>
      <c r="F8" s="88">
        <v>200000</v>
      </c>
      <c r="G8" s="17" t="s">
        <v>363</v>
      </c>
      <c r="H8" s="89" t="s">
        <v>358</v>
      </c>
      <c r="J8" s="16"/>
    </row>
    <row r="9" spans="1:11" ht="114.75" customHeight="1" x14ac:dyDescent="0.45">
      <c r="B9" s="72">
        <v>7.6</v>
      </c>
      <c r="C9" s="90" t="s">
        <v>364</v>
      </c>
      <c r="D9" s="85">
        <v>360000</v>
      </c>
      <c r="E9" s="88">
        <v>300000</v>
      </c>
      <c r="F9" s="88">
        <f>E9</f>
        <v>300000</v>
      </c>
      <c r="G9" s="17" t="s">
        <v>365</v>
      </c>
      <c r="H9" s="89" t="s">
        <v>366</v>
      </c>
      <c r="J9" s="16"/>
      <c r="K9" t="s">
        <v>367</v>
      </c>
    </row>
    <row r="10" spans="1:11" ht="60" customHeight="1" x14ac:dyDescent="0.45">
      <c r="B10" s="72">
        <v>7.7</v>
      </c>
      <c r="C10" s="90" t="s">
        <v>368</v>
      </c>
      <c r="D10" s="308">
        <v>60000</v>
      </c>
      <c r="E10" s="88">
        <v>60000</v>
      </c>
      <c r="F10" s="88">
        <v>60000</v>
      </c>
      <c r="G10" s="17" t="s">
        <v>347</v>
      </c>
      <c r="H10" s="89" t="s">
        <v>348</v>
      </c>
      <c r="J10" s="16"/>
    </row>
    <row r="11" spans="1:11" x14ac:dyDescent="0.45">
      <c r="A11" s="19"/>
      <c r="C11" s="19"/>
      <c r="D11" s="19"/>
    </row>
    <row r="13" spans="1:11" x14ac:dyDescent="0.45">
      <c r="B13" s="18" t="s">
        <v>369</v>
      </c>
      <c r="G13" s="16"/>
    </row>
    <row r="15" spans="1:11" x14ac:dyDescent="0.45">
      <c r="C15" t="s">
        <v>370</v>
      </c>
      <c r="E15" s="23">
        <v>150000</v>
      </c>
      <c r="F15" t="s">
        <v>371</v>
      </c>
    </row>
    <row r="16" spans="1:11" x14ac:dyDescent="0.45">
      <c r="C16" s="333" t="s">
        <v>372</v>
      </c>
      <c r="E16" s="23">
        <v>60000</v>
      </c>
    </row>
    <row r="17" spans="3:6" x14ac:dyDescent="0.45">
      <c r="C17" t="s">
        <v>373</v>
      </c>
      <c r="E17" s="23">
        <v>40000</v>
      </c>
    </row>
    <row r="18" spans="3:6" ht="28.5" x14ac:dyDescent="0.45">
      <c r="C18" s="366" t="s">
        <v>374</v>
      </c>
      <c r="D18" s="16"/>
      <c r="E18" s="23">
        <f>(0.25*152500)+(0.25*135000*2)</f>
        <v>105625</v>
      </c>
      <c r="F18" t="s">
        <v>375</v>
      </c>
    </row>
    <row r="19" spans="3:6" ht="28.9" thickBot="1" x14ac:dyDescent="0.5">
      <c r="C19" s="140" t="s">
        <v>376</v>
      </c>
      <c r="D19" s="140"/>
      <c r="E19" s="98">
        <f>SUM(E15:E18)</f>
        <v>355625</v>
      </c>
    </row>
    <row r="20" spans="3:6" ht="14.65" thickTop="1" x14ac:dyDescent="0.45"/>
    <row r="21" spans="3:6" x14ac:dyDescent="0.45">
      <c r="C21" s="53"/>
      <c r="D21" s="53"/>
      <c r="E21" s="53"/>
    </row>
    <row r="22" spans="3:6" x14ac:dyDescent="0.45">
      <c r="C22" s="53"/>
      <c r="D22" s="53"/>
      <c r="E22" s="5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7935-E6CA-4965-B0F4-08A731451003}">
  <dimension ref="A1:J27"/>
  <sheetViews>
    <sheetView showGridLines="0" zoomScale="130" zoomScaleNormal="130" workbookViewId="0">
      <selection activeCell="A13" sqref="A13"/>
    </sheetView>
  </sheetViews>
  <sheetFormatPr defaultColWidth="11.3984375" defaultRowHeight="14.25" x14ac:dyDescent="0.45"/>
  <cols>
    <col min="3" max="4" width="44" customWidth="1"/>
    <col min="5" max="5" width="14.265625" bestFit="1" customWidth="1"/>
    <col min="6" max="6" width="17.3984375" customWidth="1"/>
    <col min="7" max="7" width="80.265625" customWidth="1"/>
    <col min="8" max="8" width="84.73046875" customWidth="1"/>
    <col min="10" max="10" width="43.73046875" customWidth="1"/>
  </cols>
  <sheetData>
    <row r="1" spans="1:10" ht="15" customHeight="1" x14ac:dyDescent="0.45">
      <c r="A1" s="79" t="s">
        <v>377</v>
      </c>
      <c r="B1" s="142"/>
      <c r="C1" s="142"/>
      <c r="D1" s="142"/>
      <c r="E1" s="142"/>
      <c r="F1" s="142"/>
    </row>
    <row r="3" spans="1:10" x14ac:dyDescent="0.45">
      <c r="E3" s="22"/>
      <c r="F3" s="22"/>
      <c r="G3" s="22"/>
      <c r="J3" s="18"/>
    </row>
    <row r="4" spans="1:10" ht="28.5" x14ac:dyDescent="0.45">
      <c r="B4" s="141" t="s">
        <v>211</v>
      </c>
      <c r="C4" s="141" t="s">
        <v>212</v>
      </c>
      <c r="D4" s="144">
        <v>2023</v>
      </c>
      <c r="E4" s="74" t="s">
        <v>8</v>
      </c>
      <c r="F4" s="74" t="s">
        <v>9</v>
      </c>
      <c r="G4" s="74" t="s">
        <v>213</v>
      </c>
      <c r="H4" s="74" t="s">
        <v>214</v>
      </c>
      <c r="J4" s="18"/>
    </row>
    <row r="5" spans="1:10" ht="38.65" customHeight="1" x14ac:dyDescent="0.45">
      <c r="B5" s="72">
        <v>8.1</v>
      </c>
      <c r="C5" s="90" t="s">
        <v>378</v>
      </c>
      <c r="D5" s="315">
        <v>50000</v>
      </c>
      <c r="E5" s="88">
        <v>50000</v>
      </c>
      <c r="F5" s="87">
        <v>50000</v>
      </c>
      <c r="G5" s="17" t="s">
        <v>379</v>
      </c>
      <c r="H5" s="17" t="s">
        <v>348</v>
      </c>
      <c r="J5" s="16"/>
    </row>
    <row r="6" spans="1:10" ht="28.5" x14ac:dyDescent="0.45">
      <c r="B6" s="72">
        <v>8.1999999999999993</v>
      </c>
      <c r="C6" s="90" t="s">
        <v>380</v>
      </c>
      <c r="D6" s="315">
        <v>10000</v>
      </c>
      <c r="E6" s="88">
        <v>12000</v>
      </c>
      <c r="F6" s="87">
        <v>12000</v>
      </c>
      <c r="G6" s="17" t="s">
        <v>381</v>
      </c>
      <c r="H6" s="89" t="s">
        <v>382</v>
      </c>
      <c r="J6" s="16"/>
    </row>
    <row r="7" spans="1:10" ht="46.9" customHeight="1" x14ac:dyDescent="0.45">
      <c r="B7" s="72">
        <v>8.3000000000000007</v>
      </c>
      <c r="C7" s="90" t="s">
        <v>383</v>
      </c>
      <c r="D7" s="315">
        <v>50000</v>
      </c>
      <c r="E7" s="88">
        <f>ROUNDUP(F27,-4)</f>
        <v>50000</v>
      </c>
      <c r="F7" s="87">
        <f>E7</f>
        <v>50000</v>
      </c>
      <c r="G7" s="17" t="s">
        <v>384</v>
      </c>
      <c r="H7" s="17" t="s">
        <v>385</v>
      </c>
      <c r="J7" s="16"/>
    </row>
    <row r="8" spans="1:10" ht="28.5" x14ac:dyDescent="0.45">
      <c r="B8" s="72">
        <v>8.4</v>
      </c>
      <c r="C8" s="90" t="s">
        <v>386</v>
      </c>
      <c r="D8" s="315">
        <v>5000</v>
      </c>
      <c r="E8" s="88">
        <v>5000</v>
      </c>
      <c r="F8" s="87">
        <v>5000</v>
      </c>
      <c r="G8" s="17" t="s">
        <v>606</v>
      </c>
      <c r="H8" s="17" t="s">
        <v>607</v>
      </c>
      <c r="J8" s="16"/>
    </row>
    <row r="9" spans="1:10" ht="93.75" customHeight="1" x14ac:dyDescent="0.45">
      <c r="B9" s="72">
        <v>8.6</v>
      </c>
      <c r="C9" s="90" t="s">
        <v>387</v>
      </c>
      <c r="D9" s="315">
        <v>60000</v>
      </c>
      <c r="E9" s="88">
        <v>50000</v>
      </c>
      <c r="F9" s="88">
        <v>60000</v>
      </c>
      <c r="G9" s="17" t="s">
        <v>388</v>
      </c>
      <c r="H9" s="17" t="s">
        <v>389</v>
      </c>
      <c r="J9" s="16"/>
    </row>
    <row r="10" spans="1:10" x14ac:dyDescent="0.45">
      <c r="B10" s="106">
        <v>8.6999999999999993</v>
      </c>
      <c r="C10" s="106" t="s">
        <v>390</v>
      </c>
      <c r="D10" s="315">
        <v>4000</v>
      </c>
      <c r="E10" s="107">
        <v>4000</v>
      </c>
      <c r="F10" s="107">
        <v>4000</v>
      </c>
      <c r="G10" s="362"/>
      <c r="H10" s="362"/>
      <c r="J10" s="16"/>
    </row>
    <row r="11" spans="1:10" ht="71.25" x14ac:dyDescent="0.45">
      <c r="A11" s="19"/>
      <c r="B11" s="72">
        <v>8.8000000000000007</v>
      </c>
      <c r="C11" s="72" t="s">
        <v>391</v>
      </c>
      <c r="D11" s="315">
        <v>60000</v>
      </c>
      <c r="E11" s="87">
        <v>55000</v>
      </c>
      <c r="F11" s="87">
        <v>55000</v>
      </c>
      <c r="G11" s="17" t="s">
        <v>608</v>
      </c>
      <c r="H11" s="17" t="s">
        <v>609</v>
      </c>
      <c r="J11" s="16"/>
    </row>
    <row r="12" spans="1:10" ht="82.15" customHeight="1" x14ac:dyDescent="0.45">
      <c r="A12" s="19"/>
      <c r="B12" s="72">
        <v>8.9</v>
      </c>
      <c r="C12" s="72" t="s">
        <v>392</v>
      </c>
      <c r="D12" s="315">
        <v>25000</v>
      </c>
      <c r="E12" s="87">
        <v>25000</v>
      </c>
      <c r="F12" s="87">
        <v>0</v>
      </c>
      <c r="G12" s="17" t="s">
        <v>393</v>
      </c>
      <c r="H12" s="17" t="s">
        <v>394</v>
      </c>
      <c r="J12" s="16"/>
    </row>
    <row r="15" spans="1:10" x14ac:dyDescent="0.45">
      <c r="B15" s="18">
        <v>8.1999999999999993</v>
      </c>
      <c r="C15" s="18" t="s">
        <v>395</v>
      </c>
      <c r="D15" s="18"/>
    </row>
    <row r="17" spans="2:8" ht="28.5" x14ac:dyDescent="0.45">
      <c r="C17" s="16" t="s">
        <v>396</v>
      </c>
      <c r="D17" s="16"/>
      <c r="F17" s="21">
        <f>2500*2</f>
        <v>5000</v>
      </c>
      <c r="H17">
        <f>511.73*1.13</f>
        <v>578.25490000000002</v>
      </c>
    </row>
    <row r="18" spans="2:8" x14ac:dyDescent="0.45">
      <c r="C18" s="16" t="s">
        <v>397</v>
      </c>
      <c r="D18" s="16"/>
      <c r="F18" s="21">
        <f>60*12*1.13</f>
        <v>813.59999999999991</v>
      </c>
    </row>
    <row r="19" spans="2:8" x14ac:dyDescent="0.45">
      <c r="F19" s="23"/>
    </row>
    <row r="21" spans="2:8" x14ac:dyDescent="0.45">
      <c r="B21" s="18">
        <v>8.3000000000000007</v>
      </c>
      <c r="C21" s="18" t="s">
        <v>398</v>
      </c>
      <c r="D21" s="18"/>
    </row>
    <row r="23" spans="2:8" x14ac:dyDescent="0.45">
      <c r="C23" t="s">
        <v>399</v>
      </c>
      <c r="F23" s="21">
        <f>31.59*12</f>
        <v>379.08</v>
      </c>
    </row>
    <row r="24" spans="2:8" x14ac:dyDescent="0.45">
      <c r="C24" t="s">
        <v>400</v>
      </c>
      <c r="F24" s="21">
        <v>42000</v>
      </c>
      <c r="G24" t="s">
        <v>401</v>
      </c>
    </row>
    <row r="25" spans="2:8" ht="57" x14ac:dyDescent="0.45">
      <c r="C25" s="173" t="s">
        <v>402</v>
      </c>
      <c r="D25" s="173"/>
      <c r="F25" s="23">
        <v>3000</v>
      </c>
    </row>
    <row r="26" spans="2:8" x14ac:dyDescent="0.45">
      <c r="C26" s="173" t="s">
        <v>403</v>
      </c>
      <c r="D26" s="173"/>
      <c r="F26" s="23">
        <v>1100</v>
      </c>
    </row>
    <row r="27" spans="2:8" x14ac:dyDescent="0.45">
      <c r="F27" s="174">
        <f>SUM(F23:F26)</f>
        <v>46479.08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32540DF33244789E30DD56EA5F461" ma:contentTypeVersion="12" ma:contentTypeDescription="Create a new document." ma:contentTypeScope="" ma:versionID="4e8daa0949bf9d97c5b0f8cb26205f02">
  <xsd:schema xmlns:xsd="http://www.w3.org/2001/XMLSchema" xmlns:xs="http://www.w3.org/2001/XMLSchema" xmlns:p="http://schemas.microsoft.com/office/2006/metadata/properties" xmlns:ns2="b210c9d6-6f0f-4fc9-a608-c1b56c9d45b4" xmlns:ns3="a266ca17-90ff-4ae2-912c-d38575d76587" targetNamespace="http://schemas.microsoft.com/office/2006/metadata/properties" ma:root="true" ma:fieldsID="8af234dc9cdf3fc9d6b692187f8ee15d" ns2:_="" ns3:_="">
    <xsd:import namespace="b210c9d6-6f0f-4fc9-a608-c1b56c9d45b4"/>
    <xsd:import namespace="a266ca17-90ff-4ae2-912c-d38575d76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c9d6-6f0f-4fc9-a608-c1b56c9d4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6ca17-90ff-4ae2-912c-d38575d76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77DA1-9FA9-4289-B5A9-BB3D836EC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0c9d6-6f0f-4fc9-a608-c1b56c9d45b4"/>
    <ds:schemaRef ds:uri="a266ca17-90ff-4ae2-912c-d38575d76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83EC17-B982-48E3-98D2-1868EA27FB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75B0A5-D68B-4BE2-9369-3DD957C17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CAPE - DRAFT</vt:lpstr>
      <vt:lpstr>1 Revenue</vt:lpstr>
      <vt:lpstr>2 Salaries and benefits</vt:lpstr>
      <vt:lpstr>FY 2023 Positions</vt:lpstr>
      <vt:lpstr>3-4 Severance Pay</vt:lpstr>
      <vt:lpstr>5 Office_Telecom</vt:lpstr>
      <vt:lpstr>6 Training and Development</vt:lpstr>
      <vt:lpstr>7 Professional fees</vt:lpstr>
      <vt:lpstr>8 Office expenses</vt:lpstr>
      <vt:lpstr>9 Equipment </vt:lpstr>
      <vt:lpstr>10 Rent and operating expenses</vt:lpstr>
      <vt:lpstr>11 Computer expenses</vt:lpstr>
      <vt:lpstr>12 Travel</vt:lpstr>
      <vt:lpstr>13 Meetings</vt:lpstr>
      <vt:lpstr>14 Collective Bargaining</vt:lpstr>
      <vt:lpstr>15 CLC </vt:lpstr>
      <vt:lpstr>16 Local Rebates</vt:lpstr>
      <vt:lpstr>17 Donations</vt:lpstr>
      <vt:lpstr>18 Defense Funds</vt:lpstr>
      <vt:lpstr>19 Contingency</vt:lpstr>
      <vt:lpstr>CAPITAL RESERVES</vt:lpstr>
      <vt:lpstr>AMORTIZATION FY21-22</vt:lpstr>
      <vt:lpstr>AMORTIZATION FY23</vt:lpstr>
      <vt:lpstr>AMORTIZATION FY23-24</vt:lpstr>
      <vt:lpstr>Sheet1</vt:lpstr>
      <vt:lpstr>'CAPE - DRAFT'!Print_Area</vt:lpstr>
      <vt:lpstr>'CAPE - DRAFT'!Print_Titles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Therien</dc:creator>
  <cp:keywords/>
  <dc:description/>
  <cp:lastModifiedBy>Sarra Ndayishimiye</cp:lastModifiedBy>
  <cp:revision/>
  <dcterms:created xsi:type="dcterms:W3CDTF">2018-06-21T16:15:19Z</dcterms:created>
  <dcterms:modified xsi:type="dcterms:W3CDTF">2023-03-23T19:44:03Z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0x01010048932540DF33244789E30DD56EA5F461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2021-05-20T14:45:47Z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849e4dc4-7e7d-4479-afc4-e94d50d12f07</vt:lpwstr>
  </property>
  <property fmtid="{D5CDD505-2E9C-101B-9397-08002B2CF9AE}" pid="9" name="MSIP_Label_ea60d57e-af5b-4752-ac57-3e4f28ca11dc_ContentBits">
    <vt:lpwstr>0</vt:lpwstr>
  </property>
</Properties>
</file>